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ODUCE\2022\FEB-MAR\PRESENTACIONES\PRESENTACIONES\"/>
    </mc:Choice>
  </mc:AlternateContent>
  <bookViews>
    <workbookView xWindow="0" yWindow="0" windowWidth="20490" windowHeight="7650" tabRatio="931" activeTab="1"/>
  </bookViews>
  <sheets>
    <sheet name="Hoja1" sheetId="49" r:id="rId1"/>
    <sheet name="Analisis DX" sheetId="42" r:id="rId2"/>
    <sheet name="Analisis OX" sheetId="5" r:id="rId3"/>
    <sheet name="Brecha" sheetId="6" r:id="rId4"/>
    <sheet name="TERREN e INFR" sheetId="7" r:id="rId5"/>
    <sheet name="MAQ y EQUIP" sheetId="45" r:id="rId6"/>
    <sheet name="INVERS FIJ INTANG" sheetId="13" r:id="rId7"/>
    <sheet name="PLAN-PROD.Y VENTAS" sheetId="20" r:id="rId8"/>
    <sheet name="COST PROD Y MANT" sheetId="9" r:id="rId9"/>
    <sheet name="CAP TRABAJ" sheetId="46" r:id="rId10"/>
    <sheet name="INGRESOS " sheetId="26" r:id="rId11"/>
    <sheet name="INVERSION" sheetId="23" r:id="rId12"/>
    <sheet name="FINANCIAMIENT" sheetId="37" r:id="rId13"/>
    <sheet name="DEPRECIAC " sheetId="24" r:id="rId14"/>
    <sheet name="PPTO DE EGRES" sheetId="28" r:id="rId15"/>
    <sheet name="ESTADO GyP" sheetId="27" r:id="rId16"/>
    <sheet name="FLUJO DE CAJA " sheetId="33" r:id="rId17"/>
    <sheet name="CRONOGRAMA" sheetId="48" r:id="rId18"/>
  </sheets>
  <definedNames>
    <definedName name="_xlnm.Print_Area" localSheetId="1">'Analisis DX'!$B$1:$J$46</definedName>
    <definedName name="_xlnm.Print_Area" localSheetId="3">Brecha!$A$1:$F$10</definedName>
    <definedName name="_xlnm.Print_Area" localSheetId="9">'CAP TRABAJ'!$A$2:$G$51</definedName>
    <definedName name="_xlnm.Print_Area" localSheetId="8">'COST PROD Y MANT'!$A$1:$K$99</definedName>
    <definedName name="_xlnm.Print_Area" localSheetId="13">'DEPRECIAC '!$A$1:$I$12</definedName>
    <definedName name="_xlnm.Print_Area" localSheetId="15">'ESTADO GyP'!$A$1:$N$78</definedName>
    <definedName name="_xlnm.Print_Area" localSheetId="12">FINANCIAMIENT!$B$1:$G$52</definedName>
    <definedName name="_xlnm.Print_Area" localSheetId="16">'FLUJO DE CAJA '!$A$1:$H$45</definedName>
    <definedName name="_xlnm.Print_Area" localSheetId="10">'INGRESOS '!$A$1:$T$24</definedName>
    <definedName name="_xlnm.Print_Area" localSheetId="6">'INVERS FIJ INTANG'!$A$1:$H$10</definedName>
    <definedName name="_xlnm.Print_Area" localSheetId="5">'MAQ y EQUIP'!$A$1:$F$12</definedName>
    <definedName name="_xlnm.Print_Area" localSheetId="7">'PLAN-PROD.Y VENTAS'!$A$1:$J$24</definedName>
    <definedName name="_xlnm.Print_Area" localSheetId="14">'PPTO DE EGRES'!$A$1:$H$28</definedName>
    <definedName name="_xlnm.Print_Area" localSheetId="4">'TERREN e INFR'!$A$1:$G$11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42" l="1"/>
  <c r="C18" i="28" l="1"/>
  <c r="O55" i="48" l="1"/>
  <c r="O54" i="48"/>
  <c r="O52" i="48"/>
  <c r="O49" i="48"/>
  <c r="O44" i="48"/>
  <c r="O41" i="48"/>
  <c r="O40" i="48"/>
  <c r="O37" i="48"/>
  <c r="O36" i="48"/>
  <c r="J55" i="48"/>
  <c r="J54" i="48"/>
  <c r="I55" i="48"/>
  <c r="I54" i="48"/>
  <c r="H55" i="48"/>
  <c r="G55" i="48"/>
  <c r="H54" i="48"/>
  <c r="G54" i="48"/>
  <c r="G52" i="48"/>
  <c r="J49" i="48"/>
  <c r="I49" i="48"/>
  <c r="H49" i="48"/>
  <c r="G44" i="48"/>
  <c r="H41" i="48"/>
  <c r="G40" i="48"/>
  <c r="I37" i="48"/>
  <c r="H37" i="48"/>
  <c r="G36" i="48"/>
  <c r="H20" i="48"/>
  <c r="O33" i="48"/>
  <c r="O26" i="48" l="1"/>
  <c r="O25" i="48"/>
  <c r="O24" i="48"/>
  <c r="O23" i="48"/>
  <c r="O22" i="48"/>
  <c r="O21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G27" i="48"/>
  <c r="J26" i="48"/>
  <c r="I26" i="48"/>
  <c r="H26" i="48"/>
  <c r="J25" i="48"/>
  <c r="H25" i="48"/>
  <c r="I25" i="48" s="1"/>
  <c r="G23" i="48"/>
  <c r="G15" i="48"/>
  <c r="H12" i="48"/>
  <c r="G11" i="48"/>
  <c r="I8" i="48"/>
  <c r="G7" i="48"/>
  <c r="J20" i="48" l="1"/>
  <c r="J27" i="48" s="1"/>
  <c r="I20" i="48"/>
  <c r="I27" i="48" s="1"/>
  <c r="H27" i="48"/>
  <c r="B7" i="46"/>
  <c r="C44" i="46"/>
  <c r="A44" i="46"/>
  <c r="H60" i="9"/>
  <c r="C5" i="20"/>
  <c r="O27" i="48" l="1"/>
  <c r="O20" i="48"/>
  <c r="F22" i="9"/>
  <c r="F21" i="9"/>
  <c r="F20" i="9"/>
  <c r="H8" i="24"/>
  <c r="E8" i="24"/>
  <c r="F8" i="24" s="1"/>
  <c r="G8" i="24" s="1"/>
  <c r="D8" i="24"/>
  <c r="C8" i="24"/>
  <c r="E36" i="37"/>
  <c r="G36" i="37"/>
  <c r="H36" i="37"/>
  <c r="F36" i="37"/>
  <c r="H33" i="37"/>
  <c r="F33" i="37"/>
  <c r="H29" i="37"/>
  <c r="E34" i="37"/>
  <c r="G34" i="37" s="1"/>
  <c r="G33" i="37" s="1"/>
  <c r="E31" i="37"/>
  <c r="F31" i="37" s="1"/>
  <c r="F29" i="37" s="1"/>
  <c r="C8" i="37" s="1"/>
  <c r="E30" i="37"/>
  <c r="G30" i="37" s="1"/>
  <c r="G29" i="37" s="1"/>
  <c r="E26" i="37"/>
  <c r="E27" i="37"/>
  <c r="F27" i="37" s="1"/>
  <c r="D30" i="37"/>
  <c r="D31" i="37"/>
  <c r="C31" i="37"/>
  <c r="C30" i="37"/>
  <c r="D25" i="28"/>
  <c r="E25" i="28"/>
  <c r="F25" i="28"/>
  <c r="G25" i="28"/>
  <c r="C25" i="28"/>
  <c r="D14" i="28"/>
  <c r="E14" i="28"/>
  <c r="F14" i="28"/>
  <c r="G14" i="28"/>
  <c r="C14" i="28"/>
  <c r="D13" i="28"/>
  <c r="E13" i="28"/>
  <c r="F13" i="28"/>
  <c r="G13" i="28"/>
  <c r="C13" i="28"/>
  <c r="C4" i="23"/>
  <c r="C7" i="23"/>
  <c r="C6" i="23"/>
  <c r="R16" i="26"/>
  <c r="S16" i="26"/>
  <c r="T16" i="26"/>
  <c r="U16" i="26"/>
  <c r="A46" i="46"/>
  <c r="A39" i="46"/>
  <c r="A40" i="46"/>
  <c r="A41" i="46"/>
  <c r="A38" i="46"/>
  <c r="B27" i="46"/>
  <c r="A27" i="46"/>
  <c r="A47" i="46" s="1"/>
  <c r="B26" i="46"/>
  <c r="A26" i="46"/>
  <c r="B25" i="46"/>
  <c r="A25" i="46"/>
  <c r="A45" i="46" s="1"/>
  <c r="B24" i="46"/>
  <c r="A24" i="46"/>
  <c r="B23" i="46"/>
  <c r="B21" i="46"/>
  <c r="B20" i="46"/>
  <c r="B19" i="46"/>
  <c r="G68" i="9"/>
  <c r="G70" i="9"/>
  <c r="G63" i="9"/>
  <c r="B18" i="46" s="1"/>
  <c r="H71" i="9"/>
  <c r="I71" i="9"/>
  <c r="J71" i="9"/>
  <c r="K71" i="9"/>
  <c r="G71" i="9"/>
  <c r="G72" i="9"/>
  <c r="I72" i="9"/>
  <c r="J72" i="9" s="1"/>
  <c r="K72" i="9" s="1"/>
  <c r="H72" i="9"/>
  <c r="H69" i="9"/>
  <c r="I69" i="9"/>
  <c r="J69" i="9"/>
  <c r="K69" i="9"/>
  <c r="G69" i="9"/>
  <c r="I70" i="9"/>
  <c r="J70" i="9"/>
  <c r="K70" i="9"/>
  <c r="H70" i="9"/>
  <c r="F72" i="9"/>
  <c r="A23" i="46" s="1"/>
  <c r="A43" i="46" s="1"/>
  <c r="C70" i="9"/>
  <c r="C71" i="9"/>
  <c r="C69" i="9"/>
  <c r="C72" i="9"/>
  <c r="B72" i="9"/>
  <c r="C63" i="9"/>
  <c r="F70" i="9"/>
  <c r="B70" i="9"/>
  <c r="B14" i="46"/>
  <c r="B16" i="46"/>
  <c r="B13" i="46"/>
  <c r="A14" i="46"/>
  <c r="A34" i="46" s="1"/>
  <c r="A15" i="46"/>
  <c r="A35" i="46" s="1"/>
  <c r="A16" i="46"/>
  <c r="A36" i="46" s="1"/>
  <c r="A13" i="46"/>
  <c r="A33" i="46" s="1"/>
  <c r="G37" i="46"/>
  <c r="F37" i="46"/>
  <c r="E37" i="46"/>
  <c r="D37" i="46"/>
  <c r="C37" i="46"/>
  <c r="B6" i="46"/>
  <c r="B43" i="46" s="1"/>
  <c r="G89" i="9"/>
  <c r="H89" i="9"/>
  <c r="I89" i="9"/>
  <c r="J89" i="9"/>
  <c r="K89" i="9" s="1"/>
  <c r="G90" i="9"/>
  <c r="H90" i="9"/>
  <c r="I90" i="9"/>
  <c r="J90" i="9" s="1"/>
  <c r="K90" i="9" s="1"/>
  <c r="G88" i="9"/>
  <c r="H88" i="9"/>
  <c r="I88" i="9"/>
  <c r="J88" i="9"/>
  <c r="K88" i="9" s="1"/>
  <c r="G85" i="9"/>
  <c r="H85" i="9" s="1"/>
  <c r="I85" i="9" s="1"/>
  <c r="J85" i="9" s="1"/>
  <c r="K85" i="9" s="1"/>
  <c r="G86" i="9"/>
  <c r="H86" i="9"/>
  <c r="I86" i="9"/>
  <c r="J86" i="9" s="1"/>
  <c r="K86" i="9" s="1"/>
  <c r="H84" i="9"/>
  <c r="I84" i="9"/>
  <c r="J84" i="9"/>
  <c r="K84" i="9"/>
  <c r="G84" i="9"/>
  <c r="H91" i="9"/>
  <c r="I91" i="9"/>
  <c r="J91" i="9"/>
  <c r="K91" i="9"/>
  <c r="G91" i="9"/>
  <c r="H87" i="9"/>
  <c r="I87" i="9" s="1"/>
  <c r="J87" i="9" s="1"/>
  <c r="K87" i="9" s="1"/>
  <c r="G87" i="9"/>
  <c r="H83" i="9"/>
  <c r="I83" i="9"/>
  <c r="J83" i="9"/>
  <c r="K83" i="9"/>
  <c r="G83" i="9"/>
  <c r="F83" i="9"/>
  <c r="E86" i="9"/>
  <c r="F86" i="9" s="1"/>
  <c r="E85" i="9"/>
  <c r="F85" i="9" s="1"/>
  <c r="F90" i="9"/>
  <c r="F89" i="9"/>
  <c r="F88" i="9"/>
  <c r="F84" i="9"/>
  <c r="D8" i="37" l="1"/>
  <c r="G24" i="37"/>
  <c r="F8" i="37"/>
  <c r="E33" i="37"/>
  <c r="D9" i="37" s="1"/>
  <c r="E29" i="37"/>
  <c r="B36" i="46"/>
  <c r="C36" i="46" s="1"/>
  <c r="D36" i="46" s="1"/>
  <c r="E36" i="46" s="1"/>
  <c r="F36" i="46" s="1"/>
  <c r="G36" i="46" s="1"/>
  <c r="B47" i="46"/>
  <c r="B39" i="46"/>
  <c r="B38" i="46"/>
  <c r="B40" i="46"/>
  <c r="B44" i="46"/>
  <c r="D44" i="46" s="1"/>
  <c r="E44" i="46" s="1"/>
  <c r="B46" i="46"/>
  <c r="B34" i="46"/>
  <c r="C34" i="46" s="1"/>
  <c r="D34" i="46" s="1"/>
  <c r="E34" i="46" s="1"/>
  <c r="F34" i="46" s="1"/>
  <c r="G34" i="46" s="1"/>
  <c r="B41" i="46"/>
  <c r="B45" i="46"/>
  <c r="C45" i="46" s="1"/>
  <c r="D45" i="46" s="1"/>
  <c r="E45" i="46" s="1"/>
  <c r="F45" i="46" s="1"/>
  <c r="G45" i="46" s="1"/>
  <c r="B33" i="46"/>
  <c r="C33" i="46" s="1"/>
  <c r="B22" i="46"/>
  <c r="B17" i="46"/>
  <c r="F87" i="9"/>
  <c r="F91" i="9" s="1"/>
  <c r="D6" i="37" l="1"/>
  <c r="F44" i="46"/>
  <c r="G44" i="46" s="1"/>
  <c r="G42" i="46" s="1"/>
  <c r="D33" i="46"/>
  <c r="E33" i="46" s="1"/>
  <c r="F33" i="46" s="1"/>
  <c r="C42" i="46"/>
  <c r="B42" i="46"/>
  <c r="F42" i="46" l="1"/>
  <c r="G33" i="46"/>
  <c r="E42" i="46"/>
  <c r="D42" i="46"/>
  <c r="E5" i="45" l="1"/>
  <c r="E9" i="45"/>
  <c r="E8" i="45" s="1"/>
  <c r="E7" i="45"/>
  <c r="E6" i="45"/>
  <c r="C28" i="5"/>
  <c r="C27" i="5"/>
  <c r="E10" i="45" l="1"/>
  <c r="C4" i="5" l="1"/>
  <c r="D5" i="6"/>
  <c r="D6" i="6"/>
  <c r="D7" i="6"/>
  <c r="D8" i="6"/>
  <c r="D9" i="6"/>
  <c r="D4" i="6"/>
  <c r="C31" i="5"/>
  <c r="C32" i="5"/>
  <c r="C19" i="5"/>
  <c r="C15" i="42"/>
  <c r="C38" i="42" s="1"/>
  <c r="C30" i="42"/>
  <c r="C9" i="42"/>
  <c r="C16" i="42" l="1"/>
  <c r="C39" i="42" s="1"/>
  <c r="C11" i="42"/>
  <c r="D9" i="42"/>
  <c r="D15" i="42" l="1"/>
  <c r="D16" i="42" s="1"/>
  <c r="C17" i="42"/>
  <c r="C18" i="42" s="1"/>
  <c r="C40" i="42"/>
  <c r="D38" i="42" l="1"/>
  <c r="E38" i="42" s="1"/>
  <c r="C41" i="42"/>
  <c r="C19" i="42"/>
  <c r="C42" i="42" l="1"/>
  <c r="C20" i="42"/>
  <c r="C43" i="42" s="1"/>
  <c r="D39" i="42"/>
  <c r="E39" i="42" s="1"/>
  <c r="F38" i="42" l="1"/>
  <c r="C4" i="6" s="1"/>
  <c r="E4" i="6" s="1"/>
  <c r="D17" i="42"/>
  <c r="D40" i="42" s="1"/>
  <c r="D18" i="42" l="1"/>
  <c r="D41" i="42" s="1"/>
  <c r="F39" i="42"/>
  <c r="C5" i="6" s="1"/>
  <c r="E5" i="6" s="1"/>
  <c r="D19" i="42" l="1"/>
  <c r="D42" i="42" s="1"/>
  <c r="E40" i="42"/>
  <c r="F40" i="42" s="1"/>
  <c r="C6" i="6" s="1"/>
  <c r="E6" i="6" s="1"/>
  <c r="E41" i="42" l="1"/>
  <c r="F41" i="42" s="1"/>
  <c r="C7" i="6" s="1"/>
  <c r="E7" i="6" s="1"/>
  <c r="D20" i="42"/>
  <c r="D43" i="42" s="1"/>
  <c r="E42" i="42" l="1"/>
  <c r="F42" i="42" s="1"/>
  <c r="C8" i="6" s="1"/>
  <c r="E8" i="6" s="1"/>
  <c r="E43" i="42"/>
  <c r="F43" i="42" s="1"/>
  <c r="C9" i="6" s="1"/>
  <c r="E9" i="6" s="1"/>
  <c r="E10" i="6" l="1"/>
  <c r="D21" i="20" l="1"/>
  <c r="H7" i="24" l="1"/>
  <c r="G25" i="37"/>
  <c r="C12" i="37"/>
  <c r="E7" i="7"/>
  <c r="F7" i="7"/>
  <c r="H5" i="24" l="1"/>
  <c r="C7" i="24" l="1"/>
  <c r="C6" i="24" s="1"/>
  <c r="H26" i="37"/>
  <c r="H25" i="37" s="1"/>
  <c r="H24" i="37" s="1"/>
  <c r="F5" i="7"/>
  <c r="F4" i="7" s="1"/>
  <c r="D39" i="37"/>
  <c r="C39" i="37"/>
  <c r="B39" i="37"/>
  <c r="H38" i="37"/>
  <c r="E10" i="37"/>
  <c r="F10" i="37" s="1"/>
  <c r="E9" i="37"/>
  <c r="G38" i="37"/>
  <c r="G5" i="13"/>
  <c r="D11" i="37" l="1"/>
  <c r="D5" i="37" s="1"/>
  <c r="G23" i="37"/>
  <c r="G49" i="37" s="1"/>
  <c r="E39" i="37"/>
  <c r="F39" i="37"/>
  <c r="F38" i="37" s="1"/>
  <c r="E38" i="37" s="1"/>
  <c r="E7" i="37"/>
  <c r="E6" i="37" s="1"/>
  <c r="E5" i="37" s="1"/>
  <c r="G4" i="13"/>
  <c r="C39" i="33"/>
  <c r="H38" i="33"/>
  <c r="G38" i="33"/>
  <c r="F38" i="33"/>
  <c r="E38" i="33"/>
  <c r="D38" i="33"/>
  <c r="C38" i="33"/>
  <c r="C36" i="33"/>
  <c r="C29" i="27"/>
  <c r="H46" i="9"/>
  <c r="D11" i="20"/>
  <c r="D12" i="20" l="1"/>
  <c r="E11" i="20"/>
  <c r="C9" i="23"/>
  <c r="C3" i="23" s="1"/>
  <c r="C10" i="24"/>
  <c r="C11" i="37"/>
  <c r="F11" i="37" s="1"/>
  <c r="H23" i="37"/>
  <c r="D15" i="37"/>
  <c r="H49" i="9"/>
  <c r="H29" i="9"/>
  <c r="C11" i="23" l="1"/>
  <c r="E47" i="37" s="1"/>
  <c r="C12" i="23"/>
  <c r="E48" i="37" s="1"/>
  <c r="F48" i="37" s="1"/>
  <c r="E12" i="20"/>
  <c r="F11" i="20"/>
  <c r="F9" i="37"/>
  <c r="C13" i="37" l="1"/>
  <c r="F47" i="37"/>
  <c r="E17" i="20"/>
  <c r="Q16" i="26"/>
  <c r="N7" i="26"/>
  <c r="E19" i="20"/>
  <c r="E18" i="20"/>
  <c r="G11" i="20"/>
  <c r="F12" i="20"/>
  <c r="B12" i="27"/>
  <c r="F17" i="20" l="1"/>
  <c r="N8" i="26"/>
  <c r="F19" i="20"/>
  <c r="F18" i="20"/>
  <c r="H11" i="20"/>
  <c r="G12" i="20"/>
  <c r="N9" i="26" l="1"/>
  <c r="G17" i="20"/>
  <c r="G19" i="20"/>
  <c r="G18" i="20"/>
  <c r="I11" i="20"/>
  <c r="I12" i="20" s="1"/>
  <c r="H12" i="20"/>
  <c r="B11" i="27"/>
  <c r="B10" i="27" s="1"/>
  <c r="D13" i="33" s="1"/>
  <c r="N10" i="26" l="1"/>
  <c r="H17" i="20"/>
  <c r="H18" i="20"/>
  <c r="H19" i="20"/>
  <c r="N11" i="26"/>
  <c r="I19" i="20"/>
  <c r="I18" i="20"/>
  <c r="I17" i="20"/>
  <c r="C21" i="20"/>
  <c r="D29" i="27"/>
  <c r="F29" i="27"/>
  <c r="E29" i="27"/>
  <c r="B29" i="27"/>
  <c r="M13" i="27"/>
  <c r="N6" i="26"/>
  <c r="E11" i="27" l="1"/>
  <c r="H23" i="9"/>
  <c r="C62" i="9" s="1"/>
  <c r="G62" i="9" l="1"/>
  <c r="H62" i="9"/>
  <c r="I62" i="9" s="1"/>
  <c r="J62" i="9" s="1"/>
  <c r="K62" i="9" s="1"/>
  <c r="G17" i="9"/>
  <c r="G45" i="9" l="1"/>
  <c r="G25" i="9"/>
  <c r="G19" i="9"/>
  <c r="G15" i="9"/>
  <c r="F45" i="9"/>
  <c r="F42" i="9"/>
  <c r="F25" i="9"/>
  <c r="H21" i="9"/>
  <c r="F17" i="9"/>
  <c r="F19" i="9"/>
  <c r="H30" i="9"/>
  <c r="H41" i="9"/>
  <c r="H33" i="9"/>
  <c r="H34" i="9"/>
  <c r="H35" i="9"/>
  <c r="H36" i="9"/>
  <c r="H37" i="9"/>
  <c r="H38" i="9"/>
  <c r="H39" i="9"/>
  <c r="H40" i="9"/>
  <c r="H32" i="9"/>
  <c r="H27" i="9"/>
  <c r="H26" i="9"/>
  <c r="H20" i="9"/>
  <c r="H18" i="9"/>
  <c r="H17" i="9" s="1"/>
  <c r="C60" i="9" s="1"/>
  <c r="G60" i="9" l="1"/>
  <c r="G67" i="9"/>
  <c r="H22" i="9"/>
  <c r="H19" i="9" s="1"/>
  <c r="C61" i="9" s="1"/>
  <c r="H28" i="9"/>
  <c r="H31" i="9"/>
  <c r="C66" i="9" s="1"/>
  <c r="H25" i="9"/>
  <c r="C64" i="9" s="1"/>
  <c r="H45" i="9"/>
  <c r="C17" i="33"/>
  <c r="F15" i="9"/>
  <c r="H16" i="9"/>
  <c r="H67" i="9" l="1"/>
  <c r="I67" i="9" s="1"/>
  <c r="J67" i="9" s="1"/>
  <c r="G64" i="9"/>
  <c r="H64" i="9" s="1"/>
  <c r="I64" i="9" s="1"/>
  <c r="J64" i="9" s="1"/>
  <c r="K64" i="9" s="1"/>
  <c r="G61" i="9"/>
  <c r="B15" i="46" s="1"/>
  <c r="G66" i="9"/>
  <c r="F21" i="20"/>
  <c r="F23" i="20" s="1"/>
  <c r="C65" i="9"/>
  <c r="H24" i="9"/>
  <c r="H15" i="9"/>
  <c r="C59" i="9" s="1"/>
  <c r="H48" i="9"/>
  <c r="B35" i="46" l="1"/>
  <c r="B12" i="46"/>
  <c r="H66" i="9"/>
  <c r="I66" i="9" s="1"/>
  <c r="J66" i="9" s="1"/>
  <c r="K66" i="9" s="1"/>
  <c r="G59" i="9"/>
  <c r="G65" i="9"/>
  <c r="H65" i="9" s="1"/>
  <c r="I65" i="9" s="1"/>
  <c r="J65" i="9" s="1"/>
  <c r="K65" i="9" s="1"/>
  <c r="Q8" i="26"/>
  <c r="C35" i="27" s="1"/>
  <c r="C8" i="26"/>
  <c r="K8" i="26"/>
  <c r="L8" i="26"/>
  <c r="B8" i="26"/>
  <c r="D8" i="26"/>
  <c r="M8" i="26"/>
  <c r="R8" i="26"/>
  <c r="C6" i="27" s="1"/>
  <c r="D20" i="28"/>
  <c r="Q7" i="26"/>
  <c r="B35" i="27" s="1"/>
  <c r="E21" i="20"/>
  <c r="E23" i="20" s="1"/>
  <c r="H44" i="9"/>
  <c r="C12" i="28"/>
  <c r="C10" i="28"/>
  <c r="C11" i="27"/>
  <c r="I60" i="9"/>
  <c r="J60" i="9" s="1"/>
  <c r="K60" i="9" s="1"/>
  <c r="C12" i="27"/>
  <c r="C30" i="27" s="1"/>
  <c r="B33" i="27"/>
  <c r="I11" i="27"/>
  <c r="B30" i="27"/>
  <c r="I12" i="27"/>
  <c r="H59" i="9"/>
  <c r="I59" i="9" s="1"/>
  <c r="J59" i="9" s="1"/>
  <c r="K59" i="9" s="1"/>
  <c r="H61" i="9"/>
  <c r="I61" i="9" s="1"/>
  <c r="J61" i="9" s="1"/>
  <c r="K61" i="9" s="1"/>
  <c r="K67" i="9"/>
  <c r="D10" i="24"/>
  <c r="C9" i="24"/>
  <c r="C58" i="9"/>
  <c r="H14" i="9"/>
  <c r="C35" i="46" l="1"/>
  <c r="B32" i="46"/>
  <c r="C57" i="9"/>
  <c r="D7" i="26"/>
  <c r="Q17" i="26"/>
  <c r="K7" i="26"/>
  <c r="C7" i="26"/>
  <c r="L7" i="26"/>
  <c r="B7" i="26"/>
  <c r="M7" i="26"/>
  <c r="C5" i="27"/>
  <c r="S8" i="26"/>
  <c r="H13" i="9"/>
  <c r="D12" i="28"/>
  <c r="I10" i="27"/>
  <c r="C33" i="27"/>
  <c r="C10" i="27"/>
  <c r="E13" i="33" s="1"/>
  <c r="J11" i="27"/>
  <c r="D12" i="27"/>
  <c r="D11" i="27"/>
  <c r="J12" i="27"/>
  <c r="D10" i="28"/>
  <c r="G58" i="9"/>
  <c r="H63" i="9"/>
  <c r="D9" i="24"/>
  <c r="E10" i="24"/>
  <c r="C68" i="9"/>
  <c r="C73" i="9" s="1"/>
  <c r="D73" i="9" s="1"/>
  <c r="C7" i="28" l="1"/>
  <c r="G57" i="9"/>
  <c r="G73" i="9" s="1"/>
  <c r="D35" i="46"/>
  <c r="C32" i="46"/>
  <c r="C48" i="46" s="1"/>
  <c r="D18" i="33" s="1"/>
  <c r="R17" i="26"/>
  <c r="Q18" i="26"/>
  <c r="Q20" i="26" s="1"/>
  <c r="C8" i="28"/>
  <c r="C6" i="28" s="1"/>
  <c r="H58" i="9"/>
  <c r="D7" i="28" s="1"/>
  <c r="G21" i="20"/>
  <c r="G23" i="20" s="1"/>
  <c r="H50" i="9"/>
  <c r="C20" i="28"/>
  <c r="R7" i="26"/>
  <c r="B6" i="27" s="1"/>
  <c r="D7" i="33" s="1"/>
  <c r="D6" i="33" s="1"/>
  <c r="D36" i="33" s="1"/>
  <c r="D39" i="33" s="1"/>
  <c r="J6" i="27"/>
  <c r="C37" i="27"/>
  <c r="Q10" i="26"/>
  <c r="E35" i="27" s="1"/>
  <c r="M10" i="26"/>
  <c r="C10" i="26"/>
  <c r="B10" i="26"/>
  <c r="K10" i="26"/>
  <c r="D10" i="26"/>
  <c r="L10" i="26"/>
  <c r="C9" i="26"/>
  <c r="Q9" i="26"/>
  <c r="D35" i="27" s="1"/>
  <c r="B9" i="26"/>
  <c r="M9" i="26"/>
  <c r="K9" i="26"/>
  <c r="D9" i="26"/>
  <c r="L9" i="26"/>
  <c r="H21" i="20"/>
  <c r="H23" i="20" s="1"/>
  <c r="E12" i="28"/>
  <c r="E10" i="28"/>
  <c r="E12" i="27"/>
  <c r="F12" i="27"/>
  <c r="D33" i="27"/>
  <c r="K11" i="27"/>
  <c r="D10" i="27"/>
  <c r="F13" i="33" s="1"/>
  <c r="D30" i="27"/>
  <c r="K12" i="27"/>
  <c r="J10" i="27"/>
  <c r="C11" i="28"/>
  <c r="C9" i="28" s="1"/>
  <c r="D11" i="28"/>
  <c r="I58" i="9"/>
  <c r="E7" i="28" s="1"/>
  <c r="I63" i="9"/>
  <c r="D8" i="28"/>
  <c r="F10" i="24"/>
  <c r="E9" i="24"/>
  <c r="C21" i="5"/>
  <c r="B19" i="5"/>
  <c r="C8" i="5"/>
  <c r="C7" i="5"/>
  <c r="C17" i="5" s="1"/>
  <c r="D17" i="5" s="1"/>
  <c r="C6" i="5"/>
  <c r="C5" i="5"/>
  <c r="C14" i="5"/>
  <c r="E18" i="5"/>
  <c r="C18" i="5"/>
  <c r="D18" i="5" s="1"/>
  <c r="E17" i="5"/>
  <c r="E16" i="5"/>
  <c r="C16" i="5"/>
  <c r="D16" i="5" s="1"/>
  <c r="E15" i="5"/>
  <c r="D15" i="5"/>
  <c r="C15" i="5"/>
  <c r="E14" i="5"/>
  <c r="E19" i="5" s="1"/>
  <c r="E35" i="46" l="1"/>
  <c r="D32" i="46"/>
  <c r="D48" i="46" s="1"/>
  <c r="E18" i="33" s="1"/>
  <c r="R18" i="26"/>
  <c r="R20" i="26" s="1"/>
  <c r="S17" i="26"/>
  <c r="B28" i="46"/>
  <c r="B37" i="46"/>
  <c r="B48" i="46" s="1"/>
  <c r="C10" i="23" s="1"/>
  <c r="C13" i="23" s="1"/>
  <c r="D6" i="28"/>
  <c r="R9" i="26"/>
  <c r="D6" i="27" s="1"/>
  <c r="D5" i="27" s="1"/>
  <c r="D19" i="27" s="1"/>
  <c r="C5" i="28"/>
  <c r="B8" i="27" s="1"/>
  <c r="H57" i="9"/>
  <c r="J5" i="27"/>
  <c r="E7" i="33"/>
  <c r="E6" i="33" s="1"/>
  <c r="E36" i="33" s="1"/>
  <c r="E39" i="33" s="1"/>
  <c r="C22" i="5"/>
  <c r="C30" i="5" s="1"/>
  <c r="E20" i="28"/>
  <c r="S7" i="26"/>
  <c r="B37" i="27" s="1"/>
  <c r="R10" i="26"/>
  <c r="S10" i="26" s="1"/>
  <c r="C50" i="27"/>
  <c r="D50" i="27" s="1"/>
  <c r="B5" i="27"/>
  <c r="F20" i="28"/>
  <c r="I6" i="27"/>
  <c r="I5" i="27" s="1"/>
  <c r="K10" i="27"/>
  <c r="F12" i="28"/>
  <c r="F30" i="27"/>
  <c r="M12" i="27"/>
  <c r="F11" i="27"/>
  <c r="F33" i="27" s="1"/>
  <c r="G12" i="28"/>
  <c r="G10" i="28"/>
  <c r="F10" i="28"/>
  <c r="E30" i="27"/>
  <c r="L12" i="27"/>
  <c r="E10" i="27"/>
  <c r="G13" i="33" s="1"/>
  <c r="E33" i="27"/>
  <c r="L11" i="27"/>
  <c r="D9" i="28"/>
  <c r="H68" i="9"/>
  <c r="K58" i="9"/>
  <c r="G7" i="28" s="1"/>
  <c r="J58" i="9"/>
  <c r="F7" i="28" s="1"/>
  <c r="J63" i="9"/>
  <c r="K63" i="9"/>
  <c r="E8" i="28"/>
  <c r="E6" i="28" s="1"/>
  <c r="I57" i="9"/>
  <c r="F9" i="24"/>
  <c r="G10" i="24"/>
  <c r="D14" i="5"/>
  <c r="D19" i="5" s="1"/>
  <c r="G9" i="24" l="1"/>
  <c r="H10" i="24"/>
  <c r="H9" i="24" s="1"/>
  <c r="H11" i="24" s="1"/>
  <c r="F35" i="46"/>
  <c r="E32" i="46"/>
  <c r="E48" i="46" s="1"/>
  <c r="F18" i="33" s="1"/>
  <c r="S18" i="26"/>
  <c r="S20" i="26" s="1"/>
  <c r="T17" i="26"/>
  <c r="S9" i="26"/>
  <c r="D37" i="27" s="1"/>
  <c r="H41" i="37"/>
  <c r="D5" i="28"/>
  <c r="C8" i="27" s="1"/>
  <c r="H73" i="9"/>
  <c r="B32" i="27"/>
  <c r="B31" i="27" s="1"/>
  <c r="B36" i="27" s="1"/>
  <c r="D12" i="33"/>
  <c r="C18" i="33"/>
  <c r="E6" i="27"/>
  <c r="E5" i="27" s="1"/>
  <c r="E19" i="27" s="1"/>
  <c r="C29" i="5"/>
  <c r="B9" i="27"/>
  <c r="C19" i="27"/>
  <c r="Q11" i="26"/>
  <c r="F35" i="27" s="1"/>
  <c r="K11" i="26"/>
  <c r="C11" i="26"/>
  <c r="L11" i="26"/>
  <c r="B11" i="26"/>
  <c r="M11" i="26"/>
  <c r="D11" i="26"/>
  <c r="E37" i="27"/>
  <c r="K6" i="27"/>
  <c r="E50" i="27"/>
  <c r="L10" i="27"/>
  <c r="F10" i="27"/>
  <c r="H13" i="33" s="1"/>
  <c r="M11" i="27"/>
  <c r="M10" i="27" s="1"/>
  <c r="E11" i="28"/>
  <c r="E9" i="28" s="1"/>
  <c r="E5" i="28" s="1"/>
  <c r="D8" i="27" s="1"/>
  <c r="I68" i="9"/>
  <c r="I73" i="9" s="1"/>
  <c r="I21" i="20"/>
  <c r="I23" i="20" s="1"/>
  <c r="G8" i="28"/>
  <c r="G6" i="28" s="1"/>
  <c r="K57" i="9"/>
  <c r="F8" i="28"/>
  <c r="F6" i="28" s="1"/>
  <c r="J57" i="9"/>
  <c r="G35" i="46" l="1"/>
  <c r="G32" i="46" s="1"/>
  <c r="G48" i="46" s="1"/>
  <c r="H18" i="33" s="1"/>
  <c r="F32" i="46"/>
  <c r="F48" i="46" s="1"/>
  <c r="G18" i="33" s="1"/>
  <c r="F50" i="27"/>
  <c r="U17" i="26"/>
  <c r="U18" i="26" s="1"/>
  <c r="T18" i="26"/>
  <c r="T20" i="26" s="1"/>
  <c r="L6" i="27"/>
  <c r="L5" i="27" s="1"/>
  <c r="H49" i="37"/>
  <c r="E41" i="37"/>
  <c r="E12" i="37"/>
  <c r="F12" i="33"/>
  <c r="D32" i="27"/>
  <c r="D31" i="27" s="1"/>
  <c r="D36" i="27" s="1"/>
  <c r="D9" i="27"/>
  <c r="C32" i="27"/>
  <c r="C31" i="27" s="1"/>
  <c r="E12" i="33"/>
  <c r="K5" i="27"/>
  <c r="F7" i="33"/>
  <c r="R11" i="26"/>
  <c r="G20" i="28"/>
  <c r="I8" i="27"/>
  <c r="J8" i="27"/>
  <c r="C9" i="27"/>
  <c r="J68" i="9"/>
  <c r="J73" i="9" s="1"/>
  <c r="F11" i="28"/>
  <c r="F9" i="28" s="1"/>
  <c r="F5" i="28" s="1"/>
  <c r="E8" i="27" s="1"/>
  <c r="H9" i="33" l="1"/>
  <c r="I49" i="37"/>
  <c r="U20" i="26"/>
  <c r="F37" i="27"/>
  <c r="G12" i="33"/>
  <c r="E32" i="27"/>
  <c r="E31" i="27" s="1"/>
  <c r="E36" i="27" s="1"/>
  <c r="E15" i="37"/>
  <c r="F12" i="37"/>
  <c r="G7" i="33"/>
  <c r="G6" i="33" s="1"/>
  <c r="G36" i="33" s="1"/>
  <c r="G39" i="33" s="1"/>
  <c r="F6" i="33"/>
  <c r="F36" i="33" s="1"/>
  <c r="F39" i="33" s="1"/>
  <c r="F6" i="27"/>
  <c r="H7" i="33" s="1"/>
  <c r="S11" i="26"/>
  <c r="R12" i="26"/>
  <c r="L8" i="27"/>
  <c r="L9" i="27" s="1"/>
  <c r="E9" i="27"/>
  <c r="G11" i="28"/>
  <c r="G9" i="28" s="1"/>
  <c r="G5" i="28" s="1"/>
  <c r="F8" i="27" s="1"/>
  <c r="K68" i="9"/>
  <c r="K73" i="9" s="1"/>
  <c r="D21" i="5"/>
  <c r="D22" i="5"/>
  <c r="F32" i="27" l="1"/>
  <c r="F31" i="27" s="1"/>
  <c r="F36" i="27" s="1"/>
  <c r="H12" i="33"/>
  <c r="M6" i="27"/>
  <c r="G50" i="27"/>
  <c r="M8" i="27"/>
  <c r="M9" i="27" l="1"/>
  <c r="M14" i="27" s="1"/>
  <c r="J9" i="27"/>
  <c r="K8" i="27"/>
  <c r="K9" i="27" s="1"/>
  <c r="M15" i="27" l="1"/>
  <c r="M16" i="27" s="1"/>
  <c r="I9" i="27"/>
  <c r="C36" i="27" l="1"/>
  <c r="F6" i="7" l="1"/>
  <c r="F25" i="37" l="1"/>
  <c r="F8" i="7"/>
  <c r="C5" i="23" s="1"/>
  <c r="C11" i="24"/>
  <c r="C15" i="28" s="1"/>
  <c r="B13" i="27" s="1"/>
  <c r="E25" i="37" l="1"/>
  <c r="F24" i="37"/>
  <c r="E24" i="37" s="1"/>
  <c r="E23" i="37" s="1"/>
  <c r="C7" i="37"/>
  <c r="C24" i="28"/>
  <c r="C26" i="28" s="1"/>
  <c r="D7" i="24"/>
  <c r="B14" i="27"/>
  <c r="B16" i="27" s="1"/>
  <c r="B28" i="27"/>
  <c r="B27" i="27" s="1"/>
  <c r="B38" i="27" s="1"/>
  <c r="C6" i="37" l="1"/>
  <c r="F7" i="37"/>
  <c r="C16" i="33"/>
  <c r="F23" i="37"/>
  <c r="F6" i="37"/>
  <c r="F5" i="37" s="1"/>
  <c r="C5" i="37"/>
  <c r="E7" i="24"/>
  <c r="D6" i="24"/>
  <c r="D11" i="24" s="1"/>
  <c r="D15" i="28" s="1"/>
  <c r="B17" i="27"/>
  <c r="D14" i="33" s="1"/>
  <c r="D11" i="33" s="1"/>
  <c r="B34" i="27"/>
  <c r="C52" i="27"/>
  <c r="F49" i="37" l="1"/>
  <c r="C19" i="33"/>
  <c r="C20" i="33"/>
  <c r="D18" i="28"/>
  <c r="D24" i="28" s="1"/>
  <c r="D26" i="28" s="1"/>
  <c r="C13" i="27"/>
  <c r="B18" i="27"/>
  <c r="F7" i="24"/>
  <c r="E6" i="24"/>
  <c r="E11" i="24" s="1"/>
  <c r="E15" i="28" s="1"/>
  <c r="D37" i="33"/>
  <c r="D40" i="33" s="1"/>
  <c r="D41" i="33" s="1"/>
  <c r="D22" i="33"/>
  <c r="C15" i="33" l="1"/>
  <c r="C11" i="33" s="1"/>
  <c r="C22" i="33" s="1"/>
  <c r="C14" i="37"/>
  <c r="F14" i="37" s="1"/>
  <c r="B23" i="27"/>
  <c r="C37" i="33"/>
  <c r="C40" i="33" s="1"/>
  <c r="G7" i="24"/>
  <c r="F6" i="24"/>
  <c r="F11" i="24" s="1"/>
  <c r="F15" i="28" s="1"/>
  <c r="C14" i="27"/>
  <c r="C16" i="27" s="1"/>
  <c r="C28" i="27"/>
  <c r="C27" i="27" s="1"/>
  <c r="I13" i="27"/>
  <c r="I14" i="27" s="1"/>
  <c r="E18" i="28"/>
  <c r="E24" i="28" s="1"/>
  <c r="E26" i="28" s="1"/>
  <c r="D13" i="27"/>
  <c r="I15" i="27" l="1"/>
  <c r="I16" i="27" s="1"/>
  <c r="E49" i="37"/>
  <c r="F13" i="37"/>
  <c r="F15" i="37" s="1"/>
  <c r="C15" i="37"/>
  <c r="C51" i="27"/>
  <c r="I18" i="27"/>
  <c r="J13" i="27"/>
  <c r="J14" i="27" s="1"/>
  <c r="D28" i="27"/>
  <c r="D27" i="27" s="1"/>
  <c r="D14" i="27"/>
  <c r="D16" i="27" s="1"/>
  <c r="D17" i="27" s="1"/>
  <c r="F14" i="33" s="1"/>
  <c r="F18" i="28"/>
  <c r="F24" i="28" s="1"/>
  <c r="F26" i="28" s="1"/>
  <c r="E13" i="27"/>
  <c r="C34" i="27"/>
  <c r="D52" i="27"/>
  <c r="C38" i="27"/>
  <c r="C39" i="27" s="1"/>
  <c r="C17" i="27"/>
  <c r="E14" i="33" s="1"/>
  <c r="E11" i="33" s="1"/>
  <c r="H6" i="24"/>
  <c r="G6" i="24"/>
  <c r="G11" i="24" s="1"/>
  <c r="G15" i="28" s="1"/>
  <c r="F11" i="33" l="1"/>
  <c r="F22" i="33" s="1"/>
  <c r="G51" i="37"/>
  <c r="F51" i="37"/>
  <c r="H51" i="37"/>
  <c r="J15" i="27"/>
  <c r="J16" i="27" s="1"/>
  <c r="D16" i="37"/>
  <c r="E16" i="37"/>
  <c r="G15" i="37"/>
  <c r="C16" i="37"/>
  <c r="D51" i="27"/>
  <c r="C18" i="27"/>
  <c r="F37" i="33"/>
  <c r="F40" i="33" s="1"/>
  <c r="F41" i="33" s="1"/>
  <c r="D34" i="27"/>
  <c r="E52" i="27"/>
  <c r="D38" i="27"/>
  <c r="D39" i="27" s="1"/>
  <c r="D18" i="27"/>
  <c r="E22" i="33"/>
  <c r="E37" i="33"/>
  <c r="E40" i="33" s="1"/>
  <c r="E41" i="33" s="1"/>
  <c r="K13" i="27"/>
  <c r="K14" i="27" s="1"/>
  <c r="E14" i="27"/>
  <c r="E16" i="27" s="1"/>
  <c r="E17" i="27" s="1"/>
  <c r="G14" i="33" s="1"/>
  <c r="E28" i="27"/>
  <c r="E27" i="27" s="1"/>
  <c r="H8" i="33"/>
  <c r="F7" i="27"/>
  <c r="F13" i="27"/>
  <c r="G18" i="28"/>
  <c r="G24" i="28" s="1"/>
  <c r="G26" i="28" s="1"/>
  <c r="G11" i="33" l="1"/>
  <c r="G22" i="33" s="1"/>
  <c r="H6" i="33"/>
  <c r="H36" i="33" s="1"/>
  <c r="H39" i="33" s="1"/>
  <c r="K15" i="27"/>
  <c r="K16" i="27" s="1"/>
  <c r="E51" i="27"/>
  <c r="E18" i="27"/>
  <c r="E34" i="27"/>
  <c r="E38" i="27"/>
  <c r="E39" i="27" s="1"/>
  <c r="F52" i="27"/>
  <c r="L13" i="27"/>
  <c r="L14" i="27" s="1"/>
  <c r="F28" i="27"/>
  <c r="F27" i="27" s="1"/>
  <c r="M7" i="27"/>
  <c r="M5" i="27" s="1"/>
  <c r="F5" i="27"/>
  <c r="G37" i="33" l="1"/>
  <c r="G40" i="33" s="1"/>
  <c r="G41" i="33" s="1"/>
  <c r="L15" i="27"/>
  <c r="L16" i="27" s="1"/>
  <c r="F51" i="27"/>
  <c r="F9" i="27"/>
  <c r="F14" i="27" s="1"/>
  <c r="F16" i="27" s="1"/>
  <c r="F17" i="27" s="1"/>
  <c r="H14" i="33" s="1"/>
  <c r="F19" i="27"/>
  <c r="F34" i="27"/>
  <c r="F38" i="27"/>
  <c r="F39" i="27" s="1"/>
  <c r="G52" i="27"/>
  <c r="H11" i="33" l="1"/>
  <c r="H22" i="33" s="1"/>
  <c r="F18" i="27"/>
  <c r="G51" i="27"/>
  <c r="H37" i="33" l="1"/>
  <c r="H40" i="33" s="1"/>
  <c r="H41" i="33" s="1"/>
  <c r="C43" i="33" s="1"/>
  <c r="C27" i="33"/>
  <c r="C28" i="33"/>
  <c r="C42" i="33"/>
</calcChain>
</file>

<file path=xl/sharedStrings.xml><?xml version="1.0" encoding="utf-8"?>
<sst xmlns="http://schemas.openxmlformats.org/spreadsheetml/2006/main" count="628" uniqueCount="400">
  <si>
    <t>F</t>
  </si>
  <si>
    <t>AÑO</t>
  </si>
  <si>
    <t>PROYECCIÓN DE OFERTA DE PALTA</t>
  </si>
  <si>
    <t>b</t>
  </si>
  <si>
    <t>a</t>
  </si>
  <si>
    <t>X*Y</t>
  </si>
  <si>
    <t xml:space="preserve"> IMPORTACION TOTAL
(Y)</t>
  </si>
  <si>
    <t>AÑO
(X)</t>
  </si>
  <si>
    <t>años</t>
  </si>
  <si>
    <t xml:space="preserve"> OFERTA HISTORICO DE PALTA EN LIMA </t>
  </si>
  <si>
    <t>AÑOS</t>
  </si>
  <si>
    <t xml:space="preserve">Fuente: Mercados Mayoristas de Lima Metropolitana </t>
  </si>
  <si>
    <t>Elaboración: MINAGRI-DGESEP-DEA-Área de Comercialización</t>
  </si>
  <si>
    <t>PALTA FUERTE</t>
  </si>
  <si>
    <t>PALTA HASS</t>
  </si>
  <si>
    <t xml:space="preserve">
PROYECTADO
( TM )</t>
  </si>
  <si>
    <t>DETERMINACIÓN DE LA BRECHA DEMANDA-OFERTA</t>
  </si>
  <si>
    <t>DEMANDA</t>
  </si>
  <si>
    <t>OFERTA</t>
  </si>
  <si>
    <t>BRECHA</t>
  </si>
  <si>
    <t xml:space="preserve">                   CONCEPTO</t>
  </si>
  <si>
    <t>UNIDAD</t>
  </si>
  <si>
    <t>METRADOS</t>
  </si>
  <si>
    <t>COSTO UNITARIO
S/.</t>
  </si>
  <si>
    <t>COSTO TOTAL
S/.</t>
  </si>
  <si>
    <t>TOTAL TERRENOS Y OBRAS CIVILES</t>
  </si>
  <si>
    <t>mes</t>
  </si>
  <si>
    <t>TOTAL</t>
  </si>
  <si>
    <t>CONCEPTO</t>
  </si>
  <si>
    <t>Mantenimiento:</t>
  </si>
  <si>
    <t>Palto</t>
  </si>
  <si>
    <t>Densidad:</t>
  </si>
  <si>
    <t>Plantas</t>
  </si>
  <si>
    <t>PERÍODO VEGETATIVO</t>
  </si>
  <si>
    <t>: PERMANENTE</t>
  </si>
  <si>
    <t>RUBROS</t>
  </si>
  <si>
    <t>CANTIDAD</t>
  </si>
  <si>
    <t>COSTO TOTAL</t>
  </si>
  <si>
    <t>I. COSTOS DIRECTOS</t>
  </si>
  <si>
    <t>3. Fertilizantes</t>
  </si>
  <si>
    <t>c. Guano de corral</t>
  </si>
  <si>
    <t>c.</t>
  </si>
  <si>
    <t>g.</t>
  </si>
  <si>
    <t>f.</t>
  </si>
  <si>
    <t>d.</t>
  </si>
  <si>
    <t>e.</t>
  </si>
  <si>
    <t>a. Deshierbo y Riego</t>
  </si>
  <si>
    <t>c. Poda y mantenimiento</t>
  </si>
  <si>
    <t>a. Cosechadores</t>
  </si>
  <si>
    <t>II. COSTOS INDIRECTOS</t>
  </si>
  <si>
    <t>Variedades.</t>
  </si>
  <si>
    <t>fuerte y hass</t>
  </si>
  <si>
    <t>UNIDAD DE MEDIDA</t>
  </si>
  <si>
    <t xml:space="preserve">COSTO TOTAL </t>
  </si>
  <si>
    <t>DESCRIPCION</t>
  </si>
  <si>
    <t>MANO DE OBRA DIRECTA</t>
  </si>
  <si>
    <t>MANO DE OBRA INDIRECTA</t>
  </si>
  <si>
    <t>VENTAS</t>
  </si>
  <si>
    <t>TOTAL CAPITAL DE TRABAJO</t>
  </si>
  <si>
    <t>unidad</t>
  </si>
  <si>
    <t>Periodo de desfase</t>
  </si>
  <si>
    <t>Ciclo de cobranza</t>
  </si>
  <si>
    <t>Ciclo de conversion en efectivo</t>
  </si>
  <si>
    <t xml:space="preserve">a. plantones de reposicion </t>
  </si>
  <si>
    <t>semestral</t>
  </si>
  <si>
    <t>COSTO DE PRODUCCIÓN DEL CULTIVO PALTO (Mantenimiento)  HA/año.</t>
  </si>
  <si>
    <t>a. Pago por Consumo de Agua para Riego.</t>
  </si>
  <si>
    <t xml:space="preserve">jornal </t>
  </si>
  <si>
    <t>1. plantones</t>
  </si>
  <si>
    <t>a. NPK</t>
  </si>
  <si>
    <t>b. Guano de Isla</t>
  </si>
  <si>
    <t>b.Seleccion y clasificación</t>
  </si>
  <si>
    <t>c. Enjabado</t>
  </si>
  <si>
    <t xml:space="preserve">d. Pesado </t>
  </si>
  <si>
    <t>e. Estiba</t>
  </si>
  <si>
    <t>INSUMOS.</t>
  </si>
  <si>
    <t>OTROS COSTOS DIRECTOS.</t>
  </si>
  <si>
    <t>OTROS COSTOS INDIRECTOS.</t>
  </si>
  <si>
    <t>Rendimiento (Kg.)</t>
  </si>
  <si>
    <t xml:space="preserve">4. Agroquicos </t>
  </si>
  <si>
    <t>Kg</t>
  </si>
  <si>
    <t>Global</t>
  </si>
  <si>
    <t>2. Uso de recurso hídrico.</t>
  </si>
  <si>
    <t>Unidad</t>
  </si>
  <si>
    <t xml:space="preserve">a. abonamiento </t>
  </si>
  <si>
    <t xml:space="preserve">b. fumigacion y pulverizacion </t>
  </si>
  <si>
    <t>S/. / AÑO</t>
  </si>
  <si>
    <t>I. GASTOS EN VENTAS</t>
  </si>
  <si>
    <t>II. GASTOS ADMINISTRATIVOS</t>
  </si>
  <si>
    <t>TOTAL GASTOS DE OPERACIÓN</t>
  </si>
  <si>
    <t>GASTOS ADMINISTRATIVOS</t>
  </si>
  <si>
    <t>DETALLE</t>
  </si>
  <si>
    <t>Situación actual</t>
  </si>
  <si>
    <t>2. Rendimiento Actual Kg/Ha</t>
  </si>
  <si>
    <t>3. Rendimiento Actual en TM</t>
  </si>
  <si>
    <t xml:space="preserve">%primera </t>
  </si>
  <si>
    <t>%descarte</t>
  </si>
  <si>
    <t>%merma</t>
  </si>
  <si>
    <t>TOTAL DE VENTAS ACUMULADOS</t>
  </si>
  <si>
    <t>TOTAL INVERSIÓN</t>
  </si>
  <si>
    <t>II. CAPITAL DE TRABAJO</t>
  </si>
  <si>
    <t>PORCENTAJE</t>
  </si>
  <si>
    <t>TOTAL INVERSIÒN</t>
  </si>
  <si>
    <t xml:space="preserve">  I.2. INVERSION FIJA INTANGIBLE</t>
  </si>
  <si>
    <t xml:space="preserve">  I.1. INVERSION FIJA TANGIBLE</t>
  </si>
  <si>
    <t xml:space="preserve">I.INVERSION FIJA </t>
  </si>
  <si>
    <t>PRESUPUESTO TECNICO</t>
  </si>
  <si>
    <t>TERRENOS</t>
  </si>
  <si>
    <t>ESTRUCTURA DE LA INVERSIÒN</t>
  </si>
  <si>
    <t xml:space="preserve"> TOTAL
S/.</t>
  </si>
  <si>
    <t xml:space="preserve">IF: Inversión Fija </t>
  </si>
  <si>
    <t>DEPRECIACION DEL ACTIVO FIJO TANGIBLE  Y AMORTIZACION INTANGIBLES</t>
  </si>
  <si>
    <t>Factor de depreciacion</t>
  </si>
  <si>
    <t>DEPRECIACIÓN</t>
  </si>
  <si>
    <t>VALOR
RESIDUAL</t>
  </si>
  <si>
    <t>I. ACTIVO NO DEPRECIADO</t>
  </si>
  <si>
    <t>I.1.1. TERRENOS</t>
  </si>
  <si>
    <t>II. DEPRECIACIÓN DEL ACTIVO FIJO TANGIBLE</t>
  </si>
  <si>
    <t xml:space="preserve">      I.1.2. OBRAS CIVILES</t>
  </si>
  <si>
    <t xml:space="preserve">      I.1.3. MAQUINARIA Y EQUIPO</t>
  </si>
  <si>
    <t>III. AMORTIZACIÓN INTANGIBLES</t>
  </si>
  <si>
    <t>II.1.INVERSIÓN FIJA INTANGIBLE</t>
  </si>
  <si>
    <t>TOTAL ( II + III)</t>
  </si>
  <si>
    <t>INGRESOS</t>
  </si>
  <si>
    <t>PLAN DE PRODUCCION</t>
  </si>
  <si>
    <t>PLAN DE VENTAS</t>
  </si>
  <si>
    <t>PRODUCCION POR MES (TM / mes)</t>
  </si>
  <si>
    <t>CANTIDAD TOTAL
TM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</si>
  <si>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</si>
  <si>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</si>
  <si>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</si>
  <si>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</si>
  <si>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</si>
  <si>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</si>
  <si>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</si>
  <si>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</si>
  <si>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</si>
  <si>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</si>
  <si>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</si>
  <si>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</si>
  <si>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PRECIO UNITARIO </t>
  </si>
  <si>
    <t>ESTADO DE RESULTADOS CON FINANCIAMIENTO</t>
  </si>
  <si>
    <t>ESTADO DE RESULTADOS SIN FINANCIAMIENTO</t>
  </si>
  <si>
    <t>I. INGRESOS (VENTAS)</t>
  </si>
  <si>
    <t>INGRESOS EXTRAORDINARIOS</t>
  </si>
  <si>
    <t>II. COSTOS DE PRODUCCIÒN</t>
  </si>
  <si>
    <t>III. UTILIDAD BRUTA</t>
  </si>
  <si>
    <t>IV. GASTOS DE OPERACIÒN</t>
  </si>
  <si>
    <t xml:space="preserve">     GASTOS DE VENTA</t>
  </si>
  <si>
    <t xml:space="preserve">     GASTOS ADMINISTRATIVOS</t>
  </si>
  <si>
    <t>V. DEPRECIACIÒN DE A.F. Y AMORT. INTANG</t>
  </si>
  <si>
    <t>VI. UTILIDAD OPERATIVA</t>
  </si>
  <si>
    <t>VIII. UTILIDAD ANTES DE IMPUESTO</t>
  </si>
  <si>
    <t>UTILIDAD NETA</t>
  </si>
  <si>
    <t>INVERSION</t>
  </si>
  <si>
    <t>FUENTE: ELABORACION PROPIA</t>
  </si>
  <si>
    <t>PUNTO DE EQUILIBRIO</t>
  </si>
  <si>
    <t>COSTOS FIJOS.</t>
  </si>
  <si>
    <t>cf</t>
  </si>
  <si>
    <t>DEPRECIACIÒN DE A.F. Y AMORT. INTANG</t>
  </si>
  <si>
    <t>GASTOS FINANCIEROS</t>
  </si>
  <si>
    <t>COSTOS VARIABLES</t>
  </si>
  <si>
    <t>COSTOS DE PRODUCCIÒN</t>
  </si>
  <si>
    <t>GASTOS DE VENTA</t>
  </si>
  <si>
    <t>COSTOS TOTALES</t>
  </si>
  <si>
    <t>VENTAS  PROMEDIO (Q)</t>
  </si>
  <si>
    <t>vt</t>
  </si>
  <si>
    <t>COSTO VARIABLE UNITARIO (CVu)</t>
  </si>
  <si>
    <t>PRECIO DE VENTA UNITARIO</t>
  </si>
  <si>
    <t>PUNTO DE EQUILIBRIO (Q)</t>
  </si>
  <si>
    <t>PUNTO DE EQUILIBRIO (S/.)</t>
  </si>
  <si>
    <t>PE(Q) = CF/(Pu-Cvu)</t>
  </si>
  <si>
    <t>PE (S/.) = CF/(1-CV/VENTAS)</t>
  </si>
  <si>
    <t>COSTOS FIJOS</t>
  </si>
  <si>
    <t>PRESUPUESTO DE EGRESOS (OPERACIÓN)</t>
  </si>
  <si>
    <t>I. COSTOS DE PRODUCCIÓN</t>
  </si>
  <si>
    <t>I.1. COSTOS DIRECTOS</t>
  </si>
  <si>
    <t>I.1.1. MATERIALES DIRECTOS</t>
  </si>
  <si>
    <t>I.1.2. MANO DE OBRA DIRECTA.</t>
  </si>
  <si>
    <t>I.2. COSTOS INDIRECTOS</t>
  </si>
  <si>
    <t>I.2.1. MANO DE OBRA INDIRECTA.</t>
  </si>
  <si>
    <t>I.2.3. MATERIALES INDIRECTOS</t>
  </si>
  <si>
    <t>II. GASTOS DE OPERACIÓN</t>
  </si>
  <si>
    <t>II.1. GASTOS DE VENTA</t>
  </si>
  <si>
    <t>II.2. GASTOS ADMINISTRATIVOS</t>
  </si>
  <si>
    <t>III. DEPRECIACIÒN DE ACT.FIJO Y AMORTIZACION INTANG.</t>
  </si>
  <si>
    <t>IV. GASTOS FINANCIEROS</t>
  </si>
  <si>
    <t>PAGO DEL PRÉSTAMO</t>
  </si>
  <si>
    <t>TOTAL EGRESOS</t>
  </si>
  <si>
    <t>Costos Totales</t>
  </si>
  <si>
    <t>Produccion TM</t>
  </si>
  <si>
    <t>costo promedio unitario/TM</t>
  </si>
  <si>
    <t>costo promedio por Tonelada de PALTA</t>
  </si>
  <si>
    <t>Precio Unitario (TM)</t>
  </si>
  <si>
    <t>CLASIFICACION</t>
  </si>
  <si>
    <t>1. Labores Culturales</t>
  </si>
  <si>
    <t>2. Labores Tecnicos</t>
  </si>
  <si>
    <t>3. Cosecha</t>
  </si>
  <si>
    <t>Asistencia tecnica de campo</t>
  </si>
  <si>
    <t>COSTOS DE PRODUCCION PROYECTADOS.</t>
  </si>
  <si>
    <t>CANTIDAD TOTAL TM</t>
  </si>
  <si>
    <t>VALOR DE VENTA
S/. / TM</t>
  </si>
  <si>
    <t xml:space="preserve">VENTAS </t>
  </si>
  <si>
    <t>INGRESOS EXTRAORDINARIO</t>
  </si>
  <si>
    <t>GASTOS FINACIEROS</t>
  </si>
  <si>
    <t>Produccion Anual (Tm)</t>
  </si>
  <si>
    <t>Precio  proyectado</t>
  </si>
  <si>
    <t>TOTAL INGRESO</t>
  </si>
  <si>
    <t>ELABORACION PROPIA</t>
  </si>
  <si>
    <t>Q</t>
  </si>
  <si>
    <t>PRECIO UNITARIO (S/TM)</t>
  </si>
  <si>
    <t>VOLUMEN TOTAL PRODUCIDO (Q)</t>
  </si>
  <si>
    <t>1. Area Producion Ha Palta</t>
  </si>
  <si>
    <t>FLUJO DE CAJA ECONÓMICO Y FINANCIERO</t>
  </si>
  <si>
    <t>I. INGRESOS</t>
  </si>
  <si>
    <t>II. EGRESOS</t>
  </si>
  <si>
    <t>INDICADOR BENEFICIO/COSTO</t>
  </si>
  <si>
    <t>BENEFICIOS</t>
  </si>
  <si>
    <t>COSTOS</t>
  </si>
  <si>
    <t>FACTOR DE ACTUALIZACION</t>
  </si>
  <si>
    <t>BENEFICIOS ACTUALIZADOS</t>
  </si>
  <si>
    <t>COSTOS ACTUALIZADOS</t>
  </si>
  <si>
    <t>FLUJO ECONOMICO ACTUALIZADO</t>
  </si>
  <si>
    <t>INDICE DE RENTABILIDAD</t>
  </si>
  <si>
    <t xml:space="preserve">   Ingresos por ventas</t>
  </si>
  <si>
    <t xml:space="preserve">   Valor residual</t>
  </si>
  <si>
    <t xml:space="preserve">    Recupero de Capital de Trabajo</t>
  </si>
  <si>
    <t>II.1. COSTOS DE PRODUCCIÓN</t>
  </si>
  <si>
    <t>II.2. GASTOS DE OPERACIÓN</t>
  </si>
  <si>
    <t>II.3. IMPUESTO A LA RENTA</t>
  </si>
  <si>
    <t>II.4. INVERSIÓN FIJA AÑO O</t>
  </si>
  <si>
    <t xml:space="preserve">        ACTIVO FIJO</t>
  </si>
  <si>
    <t xml:space="preserve">        ACTIVO INTANGIBLE</t>
  </si>
  <si>
    <t xml:space="preserve">        CAPITAL DE TRABAJO</t>
  </si>
  <si>
    <t xml:space="preserve">        GASTOS GENERALES</t>
  </si>
  <si>
    <t xml:space="preserve">        GASTOS DE SUPERVISIÓN</t>
  </si>
  <si>
    <t>FLUJO DE CAJA ECONÓMICO</t>
  </si>
  <si>
    <t>EVALUACIÓN:</t>
  </si>
  <si>
    <t>COOK</t>
  </si>
  <si>
    <t>VAN</t>
  </si>
  <si>
    <t>TIR</t>
  </si>
  <si>
    <t>INDICE COSTO/BENEFICIO</t>
  </si>
  <si>
    <t>INDICADOS COSTO/BENEFICIO</t>
  </si>
  <si>
    <t>Ítem</t>
  </si>
  <si>
    <t>UNIDAD DE MED.</t>
  </si>
  <si>
    <t>VALOR UNITARIO</t>
  </si>
  <si>
    <t>I.2.</t>
  </si>
  <si>
    <t>INVERSION FIJA INTANJIBLE</t>
  </si>
  <si>
    <t>I.2.1</t>
  </si>
  <si>
    <t>Mes</t>
  </si>
  <si>
    <t xml:space="preserve">     I.1.2. MAQUINARIA</t>
  </si>
  <si>
    <t xml:space="preserve">     I.1.3. EQUIPO</t>
  </si>
  <si>
    <t xml:space="preserve">     I.1.4. MUEBLES Y ENSERES</t>
  </si>
  <si>
    <t>RESUMEN</t>
  </si>
  <si>
    <t>ESTRUCTURA DE INVERSION Y FINANCIAMIENTO PLAN DE NEGOCIO</t>
  </si>
  <si>
    <t>COFIN. GORE APURIMAC</t>
  </si>
  <si>
    <t>CONTRAPARTIDA - AEO</t>
  </si>
  <si>
    <t>APORTE EFECTIVO</t>
  </si>
  <si>
    <t>APORTE VALORIZADO</t>
  </si>
  <si>
    <t xml:space="preserve">     I.1.3. EQUIPOS</t>
  </si>
  <si>
    <t>DESAGREGADO</t>
  </si>
  <si>
    <t>TOTAL INVERSIÓN (S/)</t>
  </si>
  <si>
    <t>MONTO FINANCIADO POR LA AEO</t>
  </si>
  <si>
    <t>EN EFECTIVO (S/)</t>
  </si>
  <si>
    <t>EN VALORIZACIONES (S/)</t>
  </si>
  <si>
    <t>Ha</t>
  </si>
  <si>
    <t>I.1.1.1. TERRENOS</t>
  </si>
  <si>
    <t>I.1.1. TERRENOS*</t>
  </si>
  <si>
    <t>(*) PARA EFECTOS DE LA VALORIZACION SOLO SE TRABAJO CON 2 HECTAREAS, SIN EMBARGO LA DISPONIBILIDAD DE AREA ES DE 25 HA</t>
  </si>
  <si>
    <t>I.1.1.2.1 SISTEMA DE RIEGO POR GOTEO</t>
  </si>
  <si>
    <t>IX. IMPUESTO A LA RENTA ( 29.5 % )</t>
  </si>
  <si>
    <t>PROPORCION ™</t>
  </si>
  <si>
    <t>X²</t>
  </si>
  <si>
    <t>FACTORES</t>
  </si>
  <si>
    <t>POBLACIONES</t>
  </si>
  <si>
    <t>Poblacion inicial (P0)</t>
  </si>
  <si>
    <t>Poblacion final (Pf)</t>
  </si>
  <si>
    <t>Poblacion</t>
  </si>
  <si>
    <t>Años a proyectar</t>
  </si>
  <si>
    <t>Tasa de crecimiento (r.)</t>
  </si>
  <si>
    <t>FUENTE: INEI CENSOS NACIONALES 2017 XI DE POBLACION Y VI DE VIVIENDA.</t>
  </si>
  <si>
    <t>RESULTADOS DE LA ENCUESTA</t>
  </si>
  <si>
    <t>PROPORCION</t>
  </si>
  <si>
    <t>-</t>
  </si>
  <si>
    <t>ANALISIS DE LA DEMANDA</t>
  </si>
  <si>
    <t>Año</t>
  </si>
  <si>
    <t>Poblacion demandante potencial</t>
  </si>
  <si>
    <t xml:space="preserve">Poblacion demandante efectiva </t>
  </si>
  <si>
    <t>consumo percapita (*)</t>
  </si>
  <si>
    <t>Kg/Año Hab</t>
  </si>
  <si>
    <t>Poblacion de la Región Lima</t>
  </si>
  <si>
    <t>PREFERENCIA DE CONSUMO DE PALTA</t>
  </si>
  <si>
    <t>Si consume Palta</t>
  </si>
  <si>
    <t>DEMANDA - CONSUMO DE PALTA  (TM)</t>
  </si>
  <si>
    <t>Según sitio web http://www.prohass.com.pe/</t>
  </si>
  <si>
    <t xml:space="preserve">                                                          EQUIPOS</t>
  </si>
  <si>
    <t>ESPECIFICACIONES TECNICAS</t>
  </si>
  <si>
    <t>MAQUINARIA</t>
  </si>
  <si>
    <t>Motoguadaña para cosecha 4T de 1.6 HP, Peso 7.1 kg, Cilindrada 35.8 cm³, Incluye Cuchilla de 3 puntas, Cabezal de Nylon de Plástico, Lentes de trabajo, Arnés de Correas de Nylon, Llave sacabujías, Llave Mixta, Desarmador estrella, Acumulador de cosecha</t>
  </si>
  <si>
    <t xml:space="preserve">EQUIPOS </t>
  </si>
  <si>
    <t>Balanza electrónica de plataforma 300kg/50gr (plataforma en acero inoxidable 45 x 60 cm y estructura de acero resistente)</t>
  </si>
  <si>
    <t>TOTAL  MATERIALES Y EQUIPOS</t>
  </si>
  <si>
    <t>Mochila a presión 25 L, Altura del pulverizador manual x Ancho del pulverizador manual x Largo del pulverizador manual: 3 cm x 0.3 cm x 3 cm</t>
  </si>
  <si>
    <t>Situación actual 2022</t>
  </si>
  <si>
    <t>Area actual instalado Ha de palta</t>
  </si>
  <si>
    <r>
      <t>IX. IMPUESTO</t>
    </r>
    <r>
      <rPr>
        <sz val="8"/>
        <color rgb="FFFF0000"/>
        <rFont val="Arial"/>
        <family val="2"/>
      </rPr>
      <t xml:space="preserve"> A LA RENTA ( 29.5% )</t>
    </r>
  </si>
  <si>
    <t>%segunda y tercera</t>
  </si>
  <si>
    <t>GASTOS DE OPERACIÓN</t>
  </si>
  <si>
    <t>PRECIO UNITARIO
S/</t>
  </si>
  <si>
    <t>COSTO ANUAL
S/</t>
  </si>
  <si>
    <t>Vendedores</t>
  </si>
  <si>
    <t>Telefonía</t>
  </si>
  <si>
    <t>Útiles de Oficina</t>
  </si>
  <si>
    <t>COSTOS DE PRODUCCIÓN Y OPERACIÓN X HA</t>
  </si>
  <si>
    <t>Proyeccion del rendimiento del Area actual  Kg/Ha</t>
  </si>
  <si>
    <t>Proyeccion de Produccion de Area Instalada Actal</t>
  </si>
  <si>
    <t>Alquiler de jabas Cosecheras</t>
  </si>
  <si>
    <t>COSTOS DE TOTAL DE PRODUCCION</t>
  </si>
  <si>
    <t>Asistente administrativo</t>
  </si>
  <si>
    <t>Ciclo de produccion</t>
  </si>
  <si>
    <t>Dias de credito proveedores</t>
  </si>
  <si>
    <t>Dias a financiar</t>
  </si>
  <si>
    <t xml:space="preserve">           CAPITAL DE TRABAJO</t>
  </si>
  <si>
    <t>I.MATERIA PRIMAS E INSUMOS</t>
  </si>
  <si>
    <t>II.MANO DE OBRA</t>
  </si>
  <si>
    <t>Mano de Obra Directa</t>
  </si>
  <si>
    <t>Mano de Obra Indirecta</t>
  </si>
  <si>
    <t>Mano de Obra Administrativa</t>
  </si>
  <si>
    <t>III. OTROS COSTOS INDIRECTOS</t>
  </si>
  <si>
    <t>II.1 MANO DE OBRA</t>
  </si>
  <si>
    <t>Fletes internos</t>
  </si>
  <si>
    <t>Flete terrestre Cocharcas - Lima</t>
  </si>
  <si>
    <t>Mano de Obra Ventas</t>
  </si>
  <si>
    <t>SOLO SE ESTA CONSIDERANDO UN INCREMENTO DE UN 12% DEL RENDIMIENTO DURANTE LOS 05  PRIMEROS AÑOS</t>
  </si>
  <si>
    <t>NOTA: CONSIDERANDO UN INCREMENTO EN 3.5% EN EL PRECIO HASTA EL QUINTO AÑO</t>
  </si>
  <si>
    <t>III. GASTOS GENERALES (5% ) IF</t>
  </si>
  <si>
    <t>IV. GASTOS DE SUPERVISION (3%) IF</t>
  </si>
  <si>
    <t>ASISTENCIA TECNICA EN PRODUCCION, MANEJO INTEGRAL DEL CULTIVO Y MANTENIMIENTO DE SISTEMAS DE RIEGO</t>
  </si>
  <si>
    <t>MOTO GUADAÑA 1.6 HP</t>
  </si>
  <si>
    <t>MOCHILA A PRESIÓN 25 L</t>
  </si>
  <si>
    <t>BALANZA ELECTRÓNICA DE 300 KG</t>
  </si>
  <si>
    <t>I.1.2.1. MOTO GUADAÑA 1.6 HP</t>
  </si>
  <si>
    <t>I.1.2. 2. MOCHILA A PRESIÓN 25 L</t>
  </si>
  <si>
    <t>I.1.3.1. BALANZA ELECTRÓNICA DE 300 KG</t>
  </si>
  <si>
    <t>III. GASTOS GENERALES (5 %) IF</t>
  </si>
  <si>
    <t>III. GASTOS GENERALES (5%) IF</t>
  </si>
  <si>
    <t>Nota: Para el 2022 el Impuesto ala Renta es 29.5%</t>
  </si>
  <si>
    <t>I.2.1 ASISTENCIA TECNICA EN PRODUCCION, MANEJO INTEGRAL DEL CULTIVO Y MANTENIMIENTO DE SISTEMAS DE RIEGO</t>
  </si>
  <si>
    <t xml:space="preserve">  2.1. Capital de trabajo</t>
  </si>
  <si>
    <t>TERRENOS E INFRAESTRUCTURA</t>
  </si>
  <si>
    <t>INFRAESTRUCTURA</t>
  </si>
  <si>
    <t xml:space="preserve">     I.1.1. TERRENOS E INFRAESTRUCTURA</t>
  </si>
  <si>
    <t>I.1.1. 2. SISTEMA DE RIEGO POR GOTEO</t>
  </si>
  <si>
    <t>MES 1</t>
  </si>
  <si>
    <t>MES 2</t>
  </si>
  <si>
    <t>MES 3</t>
  </si>
  <si>
    <t>MES 4</t>
  </si>
  <si>
    <t>MES 5</t>
  </si>
  <si>
    <t>MES 6</t>
  </si>
  <si>
    <t>…</t>
  </si>
  <si>
    <t>MES 12</t>
  </si>
  <si>
    <t>SUB TOTAL</t>
  </si>
  <si>
    <t>INVERSIÒN TOTAL</t>
  </si>
  <si>
    <t>EJECUCIÓN FINANCIERA POR MES</t>
  </si>
  <si>
    <t>CRONOGRAMA DE EJECUCION FINANCIERO</t>
  </si>
  <si>
    <t>CRONOGRAMA DE EJECUCION FISICO</t>
  </si>
  <si>
    <t>EJECUCIÓN FISICA</t>
  </si>
  <si>
    <t>Edad media de las plantaciones 4 años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</si>
  <si>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</si>
  <si>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</si>
  <si>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</si>
  <si>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</si>
  <si>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</si>
  <si>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</si>
  <si>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</si>
  <si>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</si>
  <si>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Regresión</t>
  </si>
  <si>
    <t>Residuos</t>
  </si>
  <si>
    <t>Total</t>
  </si>
  <si>
    <t>Intercepción</t>
  </si>
  <si>
    <t>Grados de libertad</t>
  </si>
  <si>
    <t>Suma de cuadrados</t>
  </si>
  <si>
    <t>Promedio de los cuadrados</t>
  </si>
  <si>
    <t>Valor crítico de F</t>
  </si>
  <si>
    <t>Coeficientes</t>
  </si>
  <si>
    <t>Estadístico t</t>
  </si>
  <si>
    <t>Probabilidad</t>
  </si>
  <si>
    <t>Inferior 95%</t>
  </si>
  <si>
    <t>Superior 95%</t>
  </si>
  <si>
    <t>Inferior 95.0%</t>
  </si>
  <si>
    <t>Superior 95.0%</t>
  </si>
  <si>
    <t>Variable X 1</t>
  </si>
  <si>
    <t>MONTO FINANCIADO POR EL GORE  (S/)</t>
  </si>
  <si>
    <t>Otros productos sustitutos</t>
  </si>
  <si>
    <t>https://www.netquest.com/es/gracias-calculadora-muestra?utm_term=&amp;utm_campaign=Leads-Search-Spanish&amp;utm_source=adwords&amp;utm_medium=ppc&amp;hsa_acc=5975040019&amp;hsa_net=adwords&amp;hsa_cam=13335534631&amp;hsa_ad=530627771962&amp;hsa_kw=&amp;hsa_grp=129918234651&amp;hsa_mt=&amp;hsa_ver=3&amp;hsa_src=g&amp;hsa_tgt=dsa-1357649359391&amp;gclid=Cj0KCQjwxtSSBhDYARIsAEn0thRJzZuVGG_1JI-uJsHBqRmUpRQZuV-fEXXmG7oM_9OtWuVQWjUALEIaAiIEEALw_wcB</t>
  </si>
  <si>
    <t xml:space="preserve">POBLACION DEMANDANTE POTENCIAL </t>
  </si>
  <si>
    <t xml:space="preserve"> TOTAL OFERTA
( TM )</t>
  </si>
  <si>
    <t>X</t>
  </si>
  <si>
    <t>Y</t>
  </si>
  <si>
    <t xml:space="preserve">HALLAR LA MUESTRA = 385 personas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</si>
</sst>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-&quot;S/&quot;* #,##0.00_-;\-&quot;S/&quot;* #,##0.00_-;_-&quot;S/&quot;* &quot;-&quot;??_-;_-@_-"/>
    <numFmt numFmtId="166" formatCode="_(* #,##0.00_);_(* \(#,##0.00\);_(* &quot;-&quot;??_);_(@_)"/>
    <numFmt numFmtId="167" formatCode="_(* #,##0_);_(* \(#,##0\);_(* &quot;-&quot;??_);_(@_)"/>
    <numFmt numFmtId="168" formatCode="0.00000"/>
    <numFmt numFmtId="169" formatCode="_-* #,##0_-;\-* #,##0_-;_-* &quot;-&quot;??_-;_-@_-"/>
    <numFmt numFmtId="170" formatCode="_ * #,##0.00_ ;_ * \-#,##0.00_ ;_ * &quot;-&quot;??_ ;_ @_ "/>
    <numFmt numFmtId="171" formatCode="&quot;S/&quot;#,##0.00"/>
    <numFmt numFmtId="172" formatCode="0.000"/>
    <numFmt numFmtId="173" formatCode="0.0000000"/>
    <numFmt numFmtId="174" formatCode="&quot;$&quot;#,##0.00;[Red]\-&quot;$&quot;#,##0.00"/>
    <numFmt numFmtId="175" formatCode="&quot;S/.&quot;\ #,##0.00;[Red]&quot;S/.&quot;\ \-#,##0.00"/>
    <numFmt numFmtId="176" formatCode="_(* #,##0.000000_);_(* \(#,##0.000000\);_(* &quot;-&quot;??_);_(@_)"/>
    <numFmt numFmtId="177" formatCode="0.0"/>
    <numFmt numFmtId="178" formatCode="_ &quot;S/.&quot;\ * #,##0.00_ ;_ &quot;S/.&quot;\ * \-#,##0.00_ ;_ &quot;S/.&quot;\ * &quot;-&quot;??_ ;_ @_ "/>
    <numFmt numFmtId="179" formatCode="0.00000000"/>
    <numFmt numFmtId="180" formatCode="_ * #,##0.000_ ;_ * \-#,##0.000_ ;_ * &quot;-&quot;???_ ;_ @_ "/>
    <numFmt numFmtId="181" formatCode="_-[$S/-280A]\ * #,##0.00_-;\-[$S/-280A]\ * #,##0.00_-;_-[$S/-280A]\ * &quot;-&quot;??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u/>
      <sz val="9"/>
      <name val="Arial"/>
      <family val="2"/>
    </font>
    <font>
      <sz val="9"/>
      <color rgb="FF000000"/>
      <name val="Arial"/>
      <family val="2"/>
    </font>
    <font>
      <b/>
      <sz val="9"/>
      <color rgb="FF00206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rgb="FF0070C0"/>
      <name val="Arial"/>
      <family val="2"/>
    </font>
    <font>
      <u/>
      <sz val="9"/>
      <color theme="10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10"/>
      <name val="Arial"/>
      <family val="2"/>
    </font>
    <font>
      <b/>
      <u/>
      <sz val="9"/>
      <color indexed="62"/>
      <name val="Arial"/>
      <family val="2"/>
    </font>
    <font>
      <b/>
      <sz val="10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name val="Calibri"/>
      <family val="2"/>
      <scheme val="minor"/>
    </font>
    <font>
      <b/>
      <sz val="8"/>
      <color theme="5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rgb="FF000000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4">
    <xf numFmtId="0" fontId="0" fillId="0" borderId="0" xfId="0"/>
    <xf numFmtId="0" fontId="9" fillId="8" borderId="2" xfId="1" applyFont="1" applyFill="1" applyBorder="1" applyAlignment="1">
      <alignment horizontal="left" vertical="center"/>
    </xf>
    <xf numFmtId="0" fontId="4" fillId="0" borderId="2" xfId="12" applyBorder="1" applyAlignment="1">
      <alignment horizontal="center"/>
    </xf>
    <xf numFmtId="0" fontId="4" fillId="0" borderId="2" xfId="12" applyBorder="1"/>
    <xf numFmtId="0" fontId="12" fillId="17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0" fontId="4" fillId="0" borderId="0" xfId="12"/>
    <xf numFmtId="0" fontId="3" fillId="0" borderId="2" xfId="12" applyFont="1" applyBorder="1"/>
    <xf numFmtId="166" fontId="3" fillId="0" borderId="2" xfId="11" applyFont="1" applyBorder="1"/>
    <xf numFmtId="0" fontId="4" fillId="0" borderId="0" xfId="12" applyBorder="1"/>
    <xf numFmtId="170" fontId="4" fillId="0" borderId="0" xfId="12" applyNumberFormat="1" applyBorder="1"/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2" fillId="17" borderId="2" xfId="0" applyFont="1" applyFill="1" applyBorder="1" applyAlignment="1">
      <alignment horizontal="left" vertical="center"/>
    </xf>
    <xf numFmtId="0" fontId="15" fillId="9" borderId="2" xfId="6" applyFont="1" applyFill="1" applyBorder="1" applyAlignment="1">
      <alignment horizontal="center" vertical="center" wrapText="1"/>
    </xf>
    <xf numFmtId="0" fontId="15" fillId="11" borderId="2" xfId="6" applyFont="1" applyFill="1" applyBorder="1" applyAlignment="1">
      <alignment horizontal="left" vertical="center"/>
    </xf>
    <xf numFmtId="0" fontId="15" fillId="11" borderId="2" xfId="6" applyFont="1" applyFill="1" applyBorder="1" applyAlignment="1">
      <alignment vertical="center"/>
    </xf>
    <xf numFmtId="0" fontId="15" fillId="11" borderId="2" xfId="6" applyFont="1" applyFill="1" applyBorder="1" applyAlignment="1">
      <alignment horizontal="center" vertical="center"/>
    </xf>
    <xf numFmtId="165" fontId="15" fillId="11" borderId="2" xfId="14" applyFont="1" applyFill="1" applyBorder="1" applyAlignment="1">
      <alignment horizontal="center" vertical="center"/>
    </xf>
    <xf numFmtId="0" fontId="16" fillId="0" borderId="2" xfId="6" applyFont="1" applyBorder="1" applyAlignment="1">
      <alignment horizontal="left" vertical="center" wrapText="1"/>
    </xf>
    <xf numFmtId="0" fontId="16" fillId="0" borderId="2" xfId="6" applyFont="1" applyBorder="1" applyAlignment="1">
      <alignment horizontal="center" vertical="center" wrapText="1"/>
    </xf>
    <xf numFmtId="0" fontId="16" fillId="0" borderId="2" xfId="6" applyFont="1" applyBorder="1" applyAlignment="1">
      <alignment horizontal="center" vertical="center"/>
    </xf>
    <xf numFmtId="165" fontId="16" fillId="0" borderId="2" xfId="14" applyFont="1" applyBorder="1" applyAlignment="1">
      <alignment horizontal="center" vertical="center"/>
    </xf>
    <xf numFmtId="0" fontId="16" fillId="0" borderId="0" xfId="6" applyFont="1" applyAlignment="1">
      <alignment vertical="center"/>
    </xf>
    <xf numFmtId="0" fontId="16" fillId="0" borderId="0" xfId="6" applyFont="1" applyAlignment="1">
      <alignment vertical="center" wrapText="1"/>
    </xf>
    <xf numFmtId="0" fontId="15" fillId="0" borderId="2" xfId="6" applyFont="1" applyBorder="1" applyAlignment="1">
      <alignment vertical="center" wrapText="1"/>
    </xf>
    <xf numFmtId="164" fontId="15" fillId="0" borderId="2" xfId="16" applyFont="1" applyBorder="1" applyAlignment="1">
      <alignment vertical="center"/>
    </xf>
    <xf numFmtId="170" fontId="15" fillId="0" borderId="0" xfId="6" applyNumberFormat="1" applyFont="1" applyAlignment="1">
      <alignment vertical="center"/>
    </xf>
    <xf numFmtId="0" fontId="15" fillId="0" borderId="0" xfId="6" applyFont="1" applyAlignment="1">
      <alignment vertical="center"/>
    </xf>
    <xf numFmtId="0" fontId="16" fillId="0" borderId="2" xfId="6" applyFont="1" applyBorder="1" applyAlignment="1">
      <alignment vertical="center" wrapText="1"/>
    </xf>
    <xf numFmtId="164" fontId="16" fillId="0" borderId="2" xfId="16" applyFont="1" applyBorder="1" applyAlignment="1">
      <alignment vertical="center"/>
    </xf>
    <xf numFmtId="170" fontId="16" fillId="0" borderId="0" xfId="6" applyNumberFormat="1" applyFont="1" applyAlignment="1">
      <alignment vertical="center"/>
    </xf>
    <xf numFmtId="0" fontId="19" fillId="0" borderId="2" xfId="6" applyFont="1" applyBorder="1" applyAlignment="1">
      <alignment vertical="center" wrapText="1"/>
    </xf>
    <xf numFmtId="164" fontId="19" fillId="0" borderId="2" xfId="16" applyFont="1" applyBorder="1" applyAlignment="1">
      <alignment vertical="center"/>
    </xf>
    <xf numFmtId="0" fontId="15" fillId="9" borderId="2" xfId="6" applyFont="1" applyFill="1" applyBorder="1" applyAlignment="1">
      <alignment vertical="center" wrapText="1"/>
    </xf>
    <xf numFmtId="164" fontId="15" fillId="9" borderId="2" xfId="16" applyFont="1" applyFill="1" applyBorder="1" applyAlignment="1">
      <alignment vertical="center"/>
    </xf>
    <xf numFmtId="0" fontId="15" fillId="7" borderId="2" xfId="6" applyFont="1" applyFill="1" applyBorder="1" applyAlignment="1">
      <alignment vertical="center" wrapText="1"/>
    </xf>
    <xf numFmtId="10" fontId="15" fillId="7" borderId="2" xfId="17" applyNumberFormat="1" applyFont="1" applyFill="1" applyBorder="1" applyAlignment="1">
      <alignment horizontal="center" vertical="center"/>
    </xf>
    <xf numFmtId="9" fontId="15" fillId="7" borderId="2" xfId="17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vertical="center" wrapText="1"/>
    </xf>
    <xf numFmtId="166" fontId="15" fillId="0" borderId="0" xfId="10" applyFont="1" applyBorder="1" applyAlignment="1">
      <alignment vertical="center"/>
    </xf>
    <xf numFmtId="1" fontId="15" fillId="0" borderId="0" xfId="6" applyNumberFormat="1" applyFont="1" applyBorder="1" applyAlignment="1">
      <alignment vertical="center"/>
    </xf>
    <xf numFmtId="166" fontId="16" fillId="0" borderId="0" xfId="10" applyFont="1" applyBorder="1" applyAlignment="1">
      <alignment vertical="center"/>
    </xf>
    <xf numFmtId="166" fontId="16" fillId="0" borderId="0" xfId="10" applyFont="1" applyAlignment="1">
      <alignment vertical="center"/>
    </xf>
    <xf numFmtId="1" fontId="15" fillId="0" borderId="2" xfId="16" applyNumberFormat="1" applyFont="1" applyFill="1" applyBorder="1" applyAlignment="1">
      <alignment horizontal="center" vertical="center"/>
    </xf>
    <xf numFmtId="0" fontId="16" fillId="18" borderId="2" xfId="6" applyFont="1" applyFill="1" applyBorder="1" applyAlignment="1">
      <alignment vertical="center" wrapText="1"/>
    </xf>
    <xf numFmtId="1" fontId="16" fillId="18" borderId="2" xfId="16" applyNumberFormat="1" applyFont="1" applyFill="1" applyBorder="1" applyAlignment="1">
      <alignment horizontal="center" vertical="center"/>
    </xf>
    <xf numFmtId="0" fontId="19" fillId="11" borderId="2" xfId="6" applyFont="1" applyFill="1" applyBorder="1" applyAlignment="1">
      <alignment vertical="center" wrapText="1"/>
    </xf>
    <xf numFmtId="1" fontId="19" fillId="11" borderId="2" xfId="16" applyNumberFormat="1" applyFont="1" applyFill="1" applyBorder="1" applyAlignment="1">
      <alignment horizontal="center" vertical="center"/>
    </xf>
    <xf numFmtId="1" fontId="20" fillId="0" borderId="2" xfId="16" applyNumberFormat="1" applyFont="1" applyFill="1" applyBorder="1" applyAlignment="1">
      <alignment horizontal="center" vertical="center"/>
    </xf>
    <xf numFmtId="0" fontId="20" fillId="0" borderId="0" xfId="6" applyFont="1" applyAlignment="1">
      <alignment vertical="center"/>
    </xf>
    <xf numFmtId="1" fontId="21" fillId="0" borderId="2" xfId="16" applyNumberFormat="1" applyFont="1" applyFill="1" applyBorder="1" applyAlignment="1">
      <alignment horizontal="center" vertical="center"/>
    </xf>
    <xf numFmtId="164" fontId="20" fillId="0" borderId="2" xfId="16" applyFont="1" applyFill="1" applyBorder="1" applyAlignment="1">
      <alignment horizontal="center" vertical="center"/>
    </xf>
    <xf numFmtId="0" fontId="17" fillId="18" borderId="2" xfId="6" applyFont="1" applyFill="1" applyBorder="1" applyAlignment="1">
      <alignment vertical="center" wrapText="1"/>
    </xf>
    <xf numFmtId="1" fontId="17" fillId="18" borderId="2" xfId="16" applyNumberFormat="1" applyFont="1" applyFill="1" applyBorder="1" applyAlignment="1">
      <alignment horizontal="center" vertical="center"/>
    </xf>
    <xf numFmtId="0" fontId="19" fillId="11" borderId="2" xfId="6" applyFont="1" applyFill="1" applyBorder="1" applyAlignment="1">
      <alignment horizontal="left" vertical="center" wrapText="1" indent="1"/>
    </xf>
    <xf numFmtId="164" fontId="19" fillId="11" borderId="2" xfId="16" applyFont="1" applyFill="1" applyBorder="1" applyAlignment="1">
      <alignment horizontal="center" vertical="center"/>
    </xf>
    <xf numFmtId="1" fontId="15" fillId="9" borderId="2" xfId="16" applyNumberFormat="1" applyFont="1" applyFill="1" applyBorder="1" applyAlignment="1">
      <alignment horizontal="center" vertical="center"/>
    </xf>
    <xf numFmtId="10" fontId="15" fillId="7" borderId="2" xfId="13" applyNumberFormat="1" applyFont="1" applyFill="1" applyBorder="1" applyAlignment="1">
      <alignment vertical="center"/>
    </xf>
    <xf numFmtId="1" fontId="15" fillId="7" borderId="2" xfId="13" applyNumberFormat="1" applyFont="1" applyFill="1" applyBorder="1" applyAlignment="1">
      <alignment horizontal="center" vertical="center"/>
    </xf>
    <xf numFmtId="10" fontId="15" fillId="7" borderId="2" xfId="17" applyNumberFormat="1" applyFont="1" applyFill="1" applyBorder="1" applyAlignment="1">
      <alignment vertical="center"/>
    </xf>
    <xf numFmtId="0" fontId="16" fillId="0" borderId="0" xfId="6" applyFont="1" applyBorder="1" applyAlignment="1">
      <alignment vertical="center" wrapText="1"/>
    </xf>
    <xf numFmtId="0" fontId="16" fillId="0" borderId="0" xfId="6" applyFont="1" applyBorder="1" applyAlignment="1">
      <alignment vertical="center"/>
    </xf>
    <xf numFmtId="164" fontId="15" fillId="0" borderId="2" xfId="16" applyFont="1" applyFill="1" applyBorder="1" applyAlignment="1">
      <alignment horizontal="center" vertical="center"/>
    </xf>
    <xf numFmtId="164" fontId="15" fillId="23" borderId="2" xfId="16" applyFont="1" applyFill="1" applyBorder="1" applyAlignment="1">
      <alignment horizontal="center" vertical="center"/>
    </xf>
    <xf numFmtId="164" fontId="16" fillId="23" borderId="2" xfId="16" applyFont="1" applyFill="1" applyBorder="1" applyAlignment="1">
      <alignment horizontal="center" vertical="center"/>
    </xf>
    <xf numFmtId="164" fontId="19" fillId="23" borderId="2" xfId="16" applyFont="1" applyFill="1" applyBorder="1" applyAlignment="1">
      <alignment horizontal="center" vertical="center"/>
    </xf>
    <xf numFmtId="164" fontId="15" fillId="9" borderId="2" xfId="16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center" vertical="center"/>
    </xf>
    <xf numFmtId="164" fontId="16" fillId="18" borderId="2" xfId="16" applyFont="1" applyFill="1" applyBorder="1" applyAlignment="1">
      <alignment horizontal="center" vertical="center"/>
    </xf>
    <xf numFmtId="164" fontId="21" fillId="0" borderId="2" xfId="16" applyFont="1" applyFill="1" applyBorder="1" applyAlignment="1">
      <alignment horizontal="center" vertical="center"/>
    </xf>
    <xf numFmtId="164" fontId="17" fillId="18" borderId="2" xfId="16" applyFont="1" applyFill="1" applyBorder="1" applyAlignment="1">
      <alignment horizontal="center" vertical="center"/>
    </xf>
    <xf numFmtId="10" fontId="15" fillId="7" borderId="2" xfId="13" applyNumberFormat="1" applyFont="1" applyFill="1" applyBorder="1" applyAlignment="1">
      <alignment horizontal="center" vertical="center"/>
    </xf>
    <xf numFmtId="0" fontId="16" fillId="0" borderId="0" xfId="6" applyFont="1" applyBorder="1" applyAlignment="1">
      <alignment horizontal="center" vertical="center"/>
    </xf>
    <xf numFmtId="0" fontId="16" fillId="0" borderId="0" xfId="6" applyFont="1" applyAlignment="1">
      <alignment horizontal="center" vertical="center"/>
    </xf>
    <xf numFmtId="164" fontId="15" fillId="0" borderId="0" xfId="6" applyNumberFormat="1" applyFont="1" applyAlignment="1">
      <alignment vertical="center"/>
    </xf>
    <xf numFmtId="0" fontId="22" fillId="0" borderId="2" xfId="6" applyFont="1" applyBorder="1" applyAlignment="1">
      <alignment horizontal="left" vertical="center" wrapText="1" indent="2"/>
    </xf>
    <xf numFmtId="0" fontId="20" fillId="0" borderId="2" xfId="6" applyFont="1" applyBorder="1" applyAlignment="1">
      <alignment horizontal="left" vertical="center" wrapText="1" indent="3"/>
    </xf>
    <xf numFmtId="165" fontId="22" fillId="0" borderId="2" xfId="14" applyFont="1" applyBorder="1" applyAlignment="1">
      <alignment horizontal="center" vertical="center" wrapText="1"/>
    </xf>
    <xf numFmtId="164" fontId="16" fillId="0" borderId="0" xfId="6" applyNumberFormat="1" applyFont="1" applyAlignment="1">
      <alignment vertical="center" wrapText="1"/>
    </xf>
    <xf numFmtId="0" fontId="22" fillId="0" borderId="2" xfId="6" applyFont="1" applyBorder="1" applyAlignment="1">
      <alignment horizontal="center" vertical="center" wrapText="1"/>
    </xf>
    <xf numFmtId="0" fontId="15" fillId="9" borderId="2" xfId="6" applyFont="1" applyFill="1" applyBorder="1" applyAlignment="1">
      <alignment horizontal="center" vertical="center" wrapText="1"/>
    </xf>
    <xf numFmtId="0" fontId="15" fillId="9" borderId="2" xfId="6" applyFont="1" applyFill="1" applyBorder="1" applyAlignment="1">
      <alignment horizontal="center" vertical="center" wrapText="1"/>
    </xf>
    <xf numFmtId="0" fontId="4" fillId="2" borderId="0" xfId="12" applyFill="1" applyAlignment="1">
      <alignment vertical="center"/>
    </xf>
    <xf numFmtId="0" fontId="4" fillId="2" borderId="0" xfId="12" applyFill="1" applyBorder="1" applyAlignment="1">
      <alignment vertical="center"/>
    </xf>
    <xf numFmtId="0" fontId="4" fillId="2" borderId="0" xfId="12" applyFont="1" applyFill="1" applyBorder="1" applyAlignment="1">
      <alignment vertical="center" wrapText="1"/>
    </xf>
    <xf numFmtId="0" fontId="16" fillId="0" borderId="2" xfId="6" quotePrefix="1" applyFont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3" fillId="9" borderId="2" xfId="12" applyFont="1" applyFill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/>
    </xf>
    <xf numFmtId="0" fontId="4" fillId="0" borderId="0" xfId="12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9" fillId="9" borderId="2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 wrapText="1"/>
    </xf>
    <xf numFmtId="0" fontId="14" fillId="0" borderId="2" xfId="1" applyFont="1" applyBorder="1" applyAlignment="1">
      <alignment vertical="center" wrapText="1"/>
    </xf>
    <xf numFmtId="3" fontId="24" fillId="0" borderId="2" xfId="1" applyNumberFormat="1" applyFont="1" applyBorder="1" applyAlignment="1">
      <alignment vertical="center"/>
    </xf>
    <xf numFmtId="0" fontId="14" fillId="0" borderId="0" xfId="1" applyFont="1" applyAlignment="1">
      <alignment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2" xfId="1" applyFont="1" applyBorder="1" applyAlignment="1">
      <alignment vertical="center"/>
    </xf>
    <xf numFmtId="0" fontId="14" fillId="0" borderId="7" xfId="1" applyFont="1" applyBorder="1" applyAlignment="1">
      <alignment vertical="center"/>
    </xf>
    <xf numFmtId="0" fontId="25" fillId="5" borderId="26" xfId="1" applyFont="1" applyFill="1" applyBorder="1" applyAlignment="1">
      <alignment vertical="center"/>
    </xf>
    <xf numFmtId="2" fontId="25" fillId="5" borderId="27" xfId="1" applyNumberFormat="1" applyFont="1" applyFill="1" applyBorder="1" applyAlignment="1">
      <alignment vertical="center"/>
    </xf>
    <xf numFmtId="0" fontId="14" fillId="0" borderId="3" xfId="1" applyFont="1" applyBorder="1" applyAlignment="1">
      <alignment vertical="center"/>
    </xf>
    <xf numFmtId="10" fontId="14" fillId="0" borderId="0" xfId="17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9" fillId="9" borderId="2" xfId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3" fontId="14" fillId="0" borderId="2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left" vertical="center" wrapText="1"/>
    </xf>
    <xf numFmtId="0" fontId="9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9" fillId="0" borderId="28" xfId="1" applyFont="1" applyFill="1" applyBorder="1" applyAlignment="1">
      <alignment vertical="center" wrapText="1"/>
    </xf>
    <xf numFmtId="0" fontId="27" fillId="0" borderId="0" xfId="1" applyFont="1" applyAlignment="1">
      <alignment vertical="center" wrapText="1"/>
    </xf>
    <xf numFmtId="0" fontId="14" fillId="0" borderId="32" xfId="1" applyFont="1" applyFill="1" applyBorder="1" applyAlignment="1">
      <alignment vertical="center" wrapText="1"/>
    </xf>
    <xf numFmtId="0" fontId="14" fillId="26" borderId="9" xfId="1" applyFont="1" applyFill="1" applyBorder="1" applyAlignment="1">
      <alignment vertical="center" wrapText="1"/>
    </xf>
    <xf numFmtId="0" fontId="14" fillId="26" borderId="2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172" fontId="14" fillId="0" borderId="0" xfId="1" applyNumberFormat="1" applyFont="1" applyFill="1" applyBorder="1" applyAlignment="1">
      <alignment horizontal="left" vertical="center" wrapText="1"/>
    </xf>
    <xf numFmtId="0" fontId="14" fillId="0" borderId="0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9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9" fontId="14" fillId="0" borderId="0" xfId="1" applyNumberFormat="1" applyFont="1" applyBorder="1" applyAlignment="1">
      <alignment horizontal="center" vertical="center"/>
    </xf>
    <xf numFmtId="9" fontId="14" fillId="0" borderId="0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0" fontId="14" fillId="26" borderId="0" xfId="1" applyFont="1" applyFill="1" applyBorder="1" applyAlignment="1">
      <alignment vertical="center" wrapText="1"/>
    </xf>
    <xf numFmtId="0" fontId="14" fillId="26" borderId="0" xfId="1" applyFont="1" applyFill="1" applyBorder="1" applyAlignment="1">
      <alignment horizontal="left" vertical="center" wrapText="1"/>
    </xf>
    <xf numFmtId="0" fontId="14" fillId="27" borderId="2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2" fontId="14" fillId="26" borderId="0" xfId="1" applyNumberFormat="1" applyFont="1" applyFill="1" applyBorder="1" applyAlignment="1">
      <alignment vertical="center"/>
    </xf>
    <xf numFmtId="2" fontId="14" fillId="26" borderId="0" xfId="1" applyNumberFormat="1" applyFont="1" applyFill="1" applyBorder="1" applyAlignment="1">
      <alignment horizontal="center" vertical="center"/>
    </xf>
    <xf numFmtId="0" fontId="28" fillId="5" borderId="2" xfId="1" applyFont="1" applyFill="1" applyBorder="1" applyAlignment="1">
      <alignment horizontal="center" vertical="center"/>
    </xf>
    <xf numFmtId="0" fontId="9" fillId="24" borderId="0" xfId="1" applyFont="1" applyFill="1" applyBorder="1" applyAlignment="1">
      <alignment horizontal="center" vertical="center"/>
    </xf>
    <xf numFmtId="0" fontId="14" fillId="27" borderId="0" xfId="1" applyFont="1" applyFill="1" applyBorder="1" applyAlignment="1">
      <alignment horizontal="center" vertical="center"/>
    </xf>
    <xf numFmtId="2" fontId="14" fillId="27" borderId="0" xfId="1" applyNumberFormat="1" applyFont="1" applyFill="1" applyBorder="1" applyAlignment="1">
      <alignment horizontal="center" vertical="center"/>
    </xf>
    <xf numFmtId="172" fontId="14" fillId="0" borderId="0" xfId="1" applyNumberFormat="1" applyFont="1" applyBorder="1" applyAlignment="1">
      <alignment vertical="center"/>
    </xf>
    <xf numFmtId="9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1" fontId="14" fillId="0" borderId="0" xfId="1" applyNumberFormat="1" applyFont="1" applyBorder="1" applyAlignment="1">
      <alignment horizontal="center" vertical="center"/>
    </xf>
    <xf numFmtId="2" fontId="14" fillId="0" borderId="0" xfId="1" applyNumberFormat="1" applyFont="1" applyBorder="1" applyAlignment="1">
      <alignment horizontal="center" vertical="center"/>
    </xf>
    <xf numFmtId="0" fontId="9" fillId="27" borderId="0" xfId="1" applyFont="1" applyFill="1" applyBorder="1" applyAlignment="1">
      <alignment horizontal="center" vertical="center"/>
    </xf>
    <xf numFmtId="0" fontId="9" fillId="5" borderId="26" xfId="1" applyFont="1" applyFill="1" applyBorder="1" applyAlignment="1">
      <alignment vertical="center"/>
    </xf>
    <xf numFmtId="2" fontId="9" fillId="5" borderId="27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9" fillId="0" borderId="0" xfId="1" applyFont="1" applyBorder="1" applyAlignment="1">
      <alignment horizontal="left" vertical="center" wrapText="1"/>
    </xf>
    <xf numFmtId="0" fontId="29" fillId="0" borderId="0" xfId="4" applyFont="1" applyAlignment="1">
      <alignment vertical="center"/>
    </xf>
    <xf numFmtId="172" fontId="14" fillId="0" borderId="0" xfId="1" applyNumberFormat="1" applyFont="1" applyBorder="1" applyAlignment="1">
      <alignment horizontal="right" vertical="center"/>
    </xf>
    <xf numFmtId="170" fontId="14" fillId="0" borderId="0" xfId="1" applyNumberFormat="1" applyFont="1" applyAlignment="1">
      <alignment vertical="center"/>
    </xf>
    <xf numFmtId="0" fontId="31" fillId="0" borderId="0" xfId="1" applyFont="1" applyFill="1" applyBorder="1" applyAlignment="1">
      <alignment vertical="center"/>
    </xf>
    <xf numFmtId="0" fontId="9" fillId="0" borderId="29" xfId="1" applyFont="1" applyFill="1" applyBorder="1" applyAlignment="1">
      <alignment horizontal="center" vertical="center"/>
    </xf>
    <xf numFmtId="1" fontId="3" fillId="0" borderId="0" xfId="1" applyNumberFormat="1" applyFont="1" applyAlignment="1">
      <alignment vertical="center"/>
    </xf>
    <xf numFmtId="0" fontId="9" fillId="5" borderId="30" xfId="1" applyFont="1" applyFill="1" applyBorder="1" applyAlignment="1">
      <alignment vertical="center" wrapText="1"/>
    </xf>
    <xf numFmtId="0" fontId="3" fillId="0" borderId="0" xfId="12" applyFont="1" applyAlignment="1">
      <alignment horizontal="center"/>
    </xf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4" fillId="0" borderId="0" xfId="12" applyFont="1"/>
    <xf numFmtId="0" fontId="4" fillId="0" borderId="0" xfId="12" applyFont="1" applyAlignment="1">
      <alignment horizontal="center" vertical="center"/>
    </xf>
    <xf numFmtId="0" fontId="3" fillId="0" borderId="0" xfId="12" applyFont="1" applyBorder="1" applyAlignment="1">
      <alignment horizontal="center" wrapText="1"/>
    </xf>
    <xf numFmtId="0" fontId="3" fillId="0" borderId="0" xfId="12" applyFont="1" applyAlignment="1">
      <alignment horizontal="center" wrapText="1"/>
    </xf>
    <xf numFmtId="0" fontId="3" fillId="0" borderId="2" xfId="12" applyFont="1" applyFill="1" applyBorder="1"/>
    <xf numFmtId="0" fontId="3" fillId="0" borderId="2" xfId="12" applyFont="1" applyFill="1" applyBorder="1" applyAlignment="1">
      <alignment horizontal="center" vertical="center"/>
    </xf>
    <xf numFmtId="0" fontId="4" fillId="0" borderId="2" xfId="12" applyFont="1" applyFill="1" applyBorder="1"/>
    <xf numFmtId="166" fontId="3" fillId="0" borderId="2" xfId="11" applyFont="1" applyFill="1" applyBorder="1"/>
    <xf numFmtId="0" fontId="4" fillId="2" borderId="2" xfId="12" applyFont="1" applyFill="1" applyBorder="1"/>
    <xf numFmtId="0" fontId="4" fillId="2" borderId="2" xfId="12" applyFont="1" applyFill="1" applyBorder="1" applyAlignment="1">
      <alignment horizontal="center"/>
    </xf>
    <xf numFmtId="4" fontId="4" fillId="0" borderId="2" xfId="12" applyNumberFormat="1" applyFont="1" applyFill="1" applyBorder="1"/>
    <xf numFmtId="166" fontId="4" fillId="0" borderId="2" xfId="11" applyFont="1" applyFill="1" applyBorder="1"/>
    <xf numFmtId="0" fontId="6" fillId="2" borderId="4" xfId="6" applyFont="1" applyFill="1" applyBorder="1" applyAlignment="1">
      <alignment vertical="center"/>
    </xf>
    <xf numFmtId="0" fontId="4" fillId="0" borderId="6" xfId="12" applyBorder="1"/>
    <xf numFmtId="0" fontId="4" fillId="0" borderId="3" xfId="12" applyBorder="1"/>
    <xf numFmtId="0" fontId="4" fillId="2" borderId="2" xfId="12" applyFont="1" applyFill="1" applyBorder="1" applyAlignment="1">
      <alignment vertical="justify"/>
    </xf>
    <xf numFmtId="0" fontId="3" fillId="0" borderId="0" xfId="12" applyFont="1" applyBorder="1"/>
    <xf numFmtId="0" fontId="6" fillId="2" borderId="6" xfId="6" applyFont="1" applyFill="1" applyBorder="1" applyAlignment="1">
      <alignment vertical="center"/>
    </xf>
    <xf numFmtId="0" fontId="3" fillId="0" borderId="6" xfId="12" applyFont="1" applyBorder="1"/>
    <xf numFmtId="0" fontId="3" fillId="0" borderId="3" xfId="12" applyFont="1" applyBorder="1"/>
    <xf numFmtId="0" fontId="4" fillId="0" borderId="2" xfId="12" applyFont="1" applyFill="1" applyBorder="1" applyAlignment="1">
      <alignment horizontal="center" vertical="center"/>
    </xf>
    <xf numFmtId="0" fontId="4" fillId="0" borderId="2" xfId="12" applyFont="1" applyFill="1" applyBorder="1" applyAlignment="1">
      <alignment vertical="justify"/>
    </xf>
    <xf numFmtId="4" fontId="3" fillId="0" borderId="2" xfId="12" applyNumberFormat="1" applyFont="1" applyFill="1" applyBorder="1"/>
    <xf numFmtId="166" fontId="4" fillId="0" borderId="2" xfId="12" applyNumberFormat="1" applyFont="1" applyBorder="1"/>
    <xf numFmtId="0" fontId="3" fillId="13" borderId="2" xfId="12" applyFont="1" applyFill="1" applyBorder="1"/>
    <xf numFmtId="0" fontId="3" fillId="13" borderId="2" xfId="12" applyFont="1" applyFill="1" applyBorder="1" applyAlignment="1">
      <alignment horizontal="center" vertical="center"/>
    </xf>
    <xf numFmtId="0" fontId="4" fillId="13" borderId="2" xfId="12" applyFont="1" applyFill="1" applyBorder="1"/>
    <xf numFmtId="166" fontId="3" fillId="13" borderId="2" xfId="11" applyFont="1" applyFill="1" applyBorder="1"/>
    <xf numFmtId="0" fontId="3" fillId="2" borderId="0" xfId="12" applyFont="1" applyFill="1" applyBorder="1"/>
    <xf numFmtId="0" fontId="3" fillId="2" borderId="0" xfId="12" applyFont="1" applyFill="1" applyBorder="1" applyAlignment="1">
      <alignment horizontal="center" vertical="center"/>
    </xf>
    <xf numFmtId="0" fontId="4" fillId="2" borderId="0" xfId="12" applyFont="1" applyFill="1" applyBorder="1"/>
    <xf numFmtId="179" fontId="4" fillId="2" borderId="0" xfId="12" applyNumberFormat="1" applyFont="1" applyFill="1" applyBorder="1"/>
    <xf numFmtId="176" fontId="3" fillId="2" borderId="0" xfId="11" applyNumberFormat="1" applyFont="1" applyFill="1" applyBorder="1"/>
    <xf numFmtId="0" fontId="3" fillId="0" borderId="0" xfId="12" applyFont="1" applyBorder="1" applyAlignment="1">
      <alignment horizontal="center"/>
    </xf>
    <xf numFmtId="0" fontId="3" fillId="0" borderId="0" xfId="12" applyFont="1" applyBorder="1" applyAlignment="1">
      <alignment horizontal="center" vertical="center"/>
    </xf>
    <xf numFmtId="168" fontId="3" fillId="0" borderId="0" xfId="12" applyNumberFormat="1" applyFont="1" applyBorder="1" applyAlignment="1">
      <alignment horizontal="center"/>
    </xf>
    <xf numFmtId="0" fontId="4" fillId="0" borderId="0" xfId="12" applyFont="1" applyBorder="1"/>
    <xf numFmtId="0" fontId="33" fillId="0" borderId="0" xfId="12" applyFont="1" applyBorder="1"/>
    <xf numFmtId="0" fontId="33" fillId="0" borderId="0" xfId="12" applyFont="1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4" fillId="0" borderId="0" xfId="12" applyAlignment="1">
      <alignment horizontal="center"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vertical="center" wrapText="1"/>
    </xf>
    <xf numFmtId="0" fontId="34" fillId="2" borderId="0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4" fontId="10" fillId="2" borderId="2" xfId="1" applyNumberFormat="1" applyFont="1" applyFill="1" applyBorder="1" applyAlignment="1">
      <alignment vertical="center"/>
    </xf>
    <xf numFmtId="166" fontId="10" fillId="2" borderId="2" xfId="2" applyFont="1" applyFill="1" applyBorder="1" applyAlignment="1">
      <alignment vertical="center"/>
    </xf>
    <xf numFmtId="0" fontId="10" fillId="2" borderId="0" xfId="1" applyFont="1" applyFill="1" applyAlignment="1">
      <alignment vertical="center"/>
    </xf>
    <xf numFmtId="0" fontId="34" fillId="2" borderId="0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left" vertical="center" indent="2"/>
    </xf>
    <xf numFmtId="0" fontId="8" fillId="2" borderId="2" xfId="1" applyFont="1" applyFill="1" applyBorder="1" applyAlignment="1">
      <alignment horizontal="center" vertical="center"/>
    </xf>
    <xf numFmtId="165" fontId="8" fillId="2" borderId="2" xfId="14" applyFont="1" applyFill="1" applyBorder="1" applyAlignment="1">
      <alignment vertical="center"/>
    </xf>
    <xf numFmtId="4" fontId="8" fillId="2" borderId="0" xfId="1" applyNumberFormat="1" applyFont="1" applyFill="1" applyAlignment="1">
      <alignment vertical="center"/>
    </xf>
    <xf numFmtId="0" fontId="35" fillId="2" borderId="0" xfId="1" applyFont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3" fontId="10" fillId="2" borderId="2" xfId="1" applyNumberFormat="1" applyFont="1" applyFill="1" applyBorder="1" applyAlignment="1">
      <alignment vertical="center"/>
    </xf>
    <xf numFmtId="165" fontId="10" fillId="2" borderId="2" xfId="14" applyFont="1" applyFill="1" applyBorder="1" applyAlignment="1">
      <alignment vertical="center"/>
    </xf>
    <xf numFmtId="0" fontId="35" fillId="2" borderId="0" xfId="1" applyFont="1" applyFill="1" applyBorder="1" applyAlignment="1">
      <alignment horizontal="center" vertical="center"/>
    </xf>
    <xf numFmtId="170" fontId="34" fillId="2" borderId="0" xfId="8" applyNumberFormat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0" borderId="2" xfId="1" applyFont="1" applyBorder="1" applyAlignment="1">
      <alignment horizontal="left" vertical="center" wrapText="1" indent="2"/>
    </xf>
    <xf numFmtId="0" fontId="8" fillId="0" borderId="2" xfId="1" applyFont="1" applyBorder="1" applyAlignment="1">
      <alignment horizontal="center" vertical="center"/>
    </xf>
    <xf numFmtId="165" fontId="8" fillId="0" borderId="2" xfId="14" applyFont="1" applyBorder="1" applyAlignment="1">
      <alignment vertical="center"/>
    </xf>
    <xf numFmtId="43" fontId="10" fillId="2" borderId="0" xfId="1" applyNumberFormat="1" applyFont="1" applyFill="1" applyAlignment="1">
      <alignment vertical="center"/>
    </xf>
    <xf numFmtId="0" fontId="10" fillId="4" borderId="2" xfId="1" applyFont="1" applyFill="1" applyBorder="1" applyAlignment="1">
      <alignment vertical="center"/>
    </xf>
    <xf numFmtId="165" fontId="10" fillId="4" borderId="2" xfId="14" applyFont="1" applyFill="1" applyBorder="1" applyAlignment="1">
      <alignment vertical="center"/>
    </xf>
    <xf numFmtId="165" fontId="10" fillId="5" borderId="2" xfId="14" applyFont="1" applyFill="1" applyBorder="1" applyAlignment="1">
      <alignment vertical="center"/>
    </xf>
    <xf numFmtId="166" fontId="10" fillId="2" borderId="0" xfId="1" applyNumberFormat="1" applyFont="1" applyFill="1" applyAlignment="1">
      <alignment vertical="center"/>
    </xf>
    <xf numFmtId="0" fontId="8" fillId="0" borderId="0" xfId="6" applyFont="1" applyFill="1" applyBorder="1" applyAlignment="1">
      <alignment vertical="center"/>
    </xf>
    <xf numFmtId="0" fontId="10" fillId="25" borderId="2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/>
    </xf>
    <xf numFmtId="3" fontId="8" fillId="0" borderId="2" xfId="6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3" fontId="10" fillId="5" borderId="0" xfId="6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3" fontId="8" fillId="0" borderId="0" xfId="0" applyNumberFormat="1" applyFont="1" applyFill="1" applyBorder="1" applyAlignment="1">
      <alignment vertical="center"/>
    </xf>
    <xf numFmtId="169" fontId="8" fillId="0" borderId="0" xfId="0" applyNumberFormat="1" applyFont="1" applyFill="1" applyBorder="1" applyAlignment="1">
      <alignment vertical="center"/>
    </xf>
    <xf numFmtId="10" fontId="36" fillId="0" borderId="0" xfId="5" applyNumberFormat="1" applyFont="1" applyFill="1" applyBorder="1" applyAlignment="1">
      <alignment vertical="center"/>
    </xf>
    <xf numFmtId="0" fontId="8" fillId="2" borderId="0" xfId="1" applyFont="1" applyFill="1" applyBorder="1" applyAlignment="1">
      <alignment horizontal="left"/>
    </xf>
    <xf numFmtId="0" fontId="8" fillId="2" borderId="0" xfId="1" applyFont="1" applyFill="1" applyBorder="1"/>
    <xf numFmtId="0" fontId="8" fillId="0" borderId="0" xfId="1" applyFont="1" applyFill="1" applyBorder="1"/>
    <xf numFmtId="0" fontId="10" fillId="9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/>
    </xf>
    <xf numFmtId="3" fontId="38" fillId="0" borderId="2" xfId="0" applyNumberFormat="1" applyFont="1" applyBorder="1"/>
    <xf numFmtId="3" fontId="8" fillId="3" borderId="2" xfId="1" applyNumberFormat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3" fontId="8" fillId="2" borderId="0" xfId="1" applyNumberFormat="1" applyFont="1" applyFill="1"/>
    <xf numFmtId="0" fontId="10" fillId="3" borderId="2" xfId="1" applyFont="1" applyFill="1" applyBorder="1" applyAlignment="1">
      <alignment horizontal="center"/>
    </xf>
    <xf numFmtId="3" fontId="10" fillId="3" borderId="2" xfId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" fontId="8" fillId="3" borderId="2" xfId="1" applyNumberFormat="1" applyFont="1" applyFill="1" applyBorder="1" applyAlignment="1">
      <alignment horizontal="center"/>
    </xf>
    <xf numFmtId="0" fontId="10" fillId="9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0" fontId="10" fillId="6" borderId="2" xfId="1" applyFont="1" applyFill="1" applyBorder="1" applyAlignment="1">
      <alignment horizontal="center" vertical="center"/>
    </xf>
    <xf numFmtId="170" fontId="8" fillId="2" borderId="2" xfId="1" applyNumberFormat="1" applyFont="1" applyFill="1" applyBorder="1" applyAlignment="1">
      <alignment vertical="center"/>
    </xf>
    <xf numFmtId="166" fontId="8" fillId="2" borderId="2" xfId="1" applyNumberFormat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166" fontId="10" fillId="2" borderId="2" xfId="1" applyNumberFormat="1" applyFont="1" applyFill="1" applyBorder="1" applyAlignment="1">
      <alignment vertical="center"/>
    </xf>
    <xf numFmtId="0" fontId="8" fillId="2" borderId="2" xfId="1" applyFont="1" applyFill="1" applyBorder="1" applyAlignment="1">
      <alignment horizontal="left" vertical="center"/>
    </xf>
    <xf numFmtId="166" fontId="8" fillId="2" borderId="2" xfId="2" applyFont="1" applyFill="1" applyBorder="1" applyAlignment="1">
      <alignment vertical="center"/>
    </xf>
    <xf numFmtId="43" fontId="8" fillId="2" borderId="0" xfId="1" applyNumberFormat="1" applyFont="1" applyFill="1" applyBorder="1" applyAlignment="1">
      <alignment vertical="center"/>
    </xf>
    <xf numFmtId="166" fontId="8" fillId="2" borderId="0" xfId="1" applyNumberFormat="1" applyFont="1" applyFill="1" applyBorder="1" applyAlignment="1">
      <alignment vertical="center"/>
    </xf>
    <xf numFmtId="170" fontId="8" fillId="2" borderId="0" xfId="1" applyNumberFormat="1" applyFont="1" applyFill="1" applyAlignment="1">
      <alignment vertical="center"/>
    </xf>
    <xf numFmtId="167" fontId="10" fillId="2" borderId="2" xfId="2" applyNumberFormat="1" applyFont="1" applyFill="1" applyBorder="1" applyAlignment="1">
      <alignment vertical="center"/>
    </xf>
    <xf numFmtId="166" fontId="8" fillId="2" borderId="0" xfId="2" applyFont="1" applyFill="1" applyAlignment="1">
      <alignment vertical="center"/>
    </xf>
    <xf numFmtId="0" fontId="8" fillId="2" borderId="2" xfId="1" applyFont="1" applyFill="1" applyBorder="1" applyAlignment="1">
      <alignment vertical="center" wrapText="1"/>
    </xf>
    <xf numFmtId="0" fontId="10" fillId="4" borderId="9" xfId="1" applyFont="1" applyFill="1" applyBorder="1" applyAlignment="1">
      <alignment horizontal="center" vertical="center"/>
    </xf>
    <xf numFmtId="166" fontId="8" fillId="0" borderId="2" xfId="2" applyFont="1" applyBorder="1" applyAlignment="1">
      <alignment horizontal="center" vertical="center"/>
    </xf>
    <xf numFmtId="0" fontId="8" fillId="2" borderId="7" xfId="1" applyFont="1" applyFill="1" applyBorder="1" applyAlignment="1">
      <alignment horizontal="left" vertical="center"/>
    </xf>
    <xf numFmtId="166" fontId="8" fillId="2" borderId="7" xfId="2" applyFont="1" applyFill="1" applyBorder="1" applyAlignment="1">
      <alignment vertical="center"/>
    </xf>
    <xf numFmtId="0" fontId="10" fillId="2" borderId="2" xfId="1" applyFont="1" applyFill="1" applyBorder="1" applyAlignment="1">
      <alignment vertical="center" wrapText="1"/>
    </xf>
    <xf numFmtId="1" fontId="8" fillId="2" borderId="0" xfId="1" applyNumberFormat="1" applyFont="1" applyFill="1" applyBorder="1" applyAlignment="1">
      <alignment vertical="center"/>
    </xf>
    <xf numFmtId="166" fontId="10" fillId="4" borderId="2" xfId="2" applyFont="1" applyFill="1" applyBorder="1" applyAlignment="1">
      <alignment vertical="center"/>
    </xf>
    <xf numFmtId="0" fontId="8" fillId="7" borderId="0" xfId="1" applyFont="1" applyFill="1" applyBorder="1" applyAlignment="1">
      <alignment vertical="center"/>
    </xf>
    <xf numFmtId="170" fontId="8" fillId="7" borderId="0" xfId="1" applyNumberFormat="1" applyFont="1" applyFill="1" applyBorder="1" applyAlignment="1">
      <alignment vertical="center"/>
    </xf>
    <xf numFmtId="0" fontId="8" fillId="0" borderId="2" xfId="1" applyFont="1" applyBorder="1" applyAlignment="1">
      <alignment vertical="center"/>
    </xf>
    <xf numFmtId="0" fontId="40" fillId="2" borderId="0" xfId="12" applyFont="1" applyFill="1" applyAlignment="1">
      <alignment vertical="center" wrapText="1"/>
    </xf>
    <xf numFmtId="0" fontId="41" fillId="2" borderId="0" xfId="12" applyFont="1" applyFill="1" applyAlignment="1">
      <alignment horizontal="center" vertical="center" wrapText="1"/>
    </xf>
    <xf numFmtId="0" fontId="41" fillId="18" borderId="2" xfId="12" applyFont="1" applyFill="1" applyBorder="1" applyAlignment="1">
      <alignment horizontal="center" vertical="center" wrapText="1"/>
    </xf>
    <xf numFmtId="0" fontId="41" fillId="2" borderId="2" xfId="12" applyFont="1" applyFill="1" applyBorder="1" applyAlignment="1">
      <alignment vertical="center" wrapText="1"/>
    </xf>
    <xf numFmtId="165" fontId="41" fillId="2" borderId="2" xfId="14" applyFont="1" applyFill="1" applyBorder="1" applyAlignment="1">
      <alignment vertical="center" wrapText="1"/>
    </xf>
    <xf numFmtId="0" fontId="40" fillId="0" borderId="2" xfId="6" applyFont="1" applyBorder="1" applyAlignment="1">
      <alignment vertical="center" wrapText="1"/>
    </xf>
    <xf numFmtId="165" fontId="40" fillId="2" borderId="2" xfId="14" applyFont="1" applyFill="1" applyBorder="1" applyAlignment="1">
      <alignment vertical="center" wrapText="1"/>
    </xf>
    <xf numFmtId="0" fontId="41" fillId="2" borderId="0" xfId="12" applyFont="1" applyFill="1" applyAlignment="1">
      <alignment vertical="center" wrapText="1"/>
    </xf>
    <xf numFmtId="0" fontId="40" fillId="2" borderId="0" xfId="12" applyFont="1" applyFill="1" applyBorder="1" applyAlignment="1">
      <alignment vertical="center" wrapText="1"/>
    </xf>
    <xf numFmtId="170" fontId="40" fillId="2" borderId="0" xfId="12" applyNumberFormat="1" applyFont="1" applyFill="1" applyAlignment="1">
      <alignment vertical="center" wrapText="1"/>
    </xf>
    <xf numFmtId="0" fontId="41" fillId="2" borderId="0" xfId="12" applyFont="1" applyFill="1" applyBorder="1" applyAlignment="1">
      <alignment vertical="center" wrapText="1"/>
    </xf>
    <xf numFmtId="2" fontId="8" fillId="0" borderId="2" xfId="12" applyNumberFormat="1" applyFont="1" applyBorder="1" applyAlignment="1">
      <alignment horizontal="center" vertical="center"/>
    </xf>
    <xf numFmtId="0" fontId="8" fillId="2" borderId="0" xfId="12" applyFont="1" applyFill="1" applyAlignment="1">
      <alignment vertical="center"/>
    </xf>
    <xf numFmtId="0" fontId="8" fillId="0" borderId="0" xfId="12" applyFont="1" applyAlignment="1">
      <alignment vertical="center"/>
    </xf>
    <xf numFmtId="0" fontId="10" fillId="6" borderId="2" xfId="12" applyFont="1" applyFill="1" applyBorder="1" applyAlignment="1">
      <alignment horizontal="center" vertical="center"/>
    </xf>
    <xf numFmtId="0" fontId="10" fillId="0" borderId="2" xfId="12" applyFont="1" applyBorder="1" applyAlignment="1">
      <alignment vertical="center"/>
    </xf>
    <xf numFmtId="0" fontId="8" fillId="0" borderId="2" xfId="12" applyFont="1" applyBorder="1" applyAlignment="1">
      <alignment horizontal="center" vertical="center"/>
    </xf>
    <xf numFmtId="0" fontId="8" fillId="0" borderId="2" xfId="12" applyFont="1" applyBorder="1" applyAlignment="1">
      <alignment vertical="center"/>
    </xf>
    <xf numFmtId="0" fontId="8" fillId="2" borderId="0" xfId="12" applyFont="1" applyFill="1" applyBorder="1" applyAlignment="1">
      <alignment vertical="center"/>
    </xf>
    <xf numFmtId="0" fontId="8" fillId="0" borderId="2" xfId="12" applyFont="1" applyBorder="1" applyAlignment="1">
      <alignment horizontal="left" vertical="center"/>
    </xf>
    <xf numFmtId="166" fontId="8" fillId="2" borderId="0" xfId="11" applyFont="1" applyFill="1" applyBorder="1" applyAlignment="1">
      <alignment vertical="center"/>
    </xf>
    <xf numFmtId="166" fontId="10" fillId="2" borderId="0" xfId="11" applyFont="1" applyFill="1" applyBorder="1" applyAlignment="1">
      <alignment vertical="center"/>
    </xf>
    <xf numFmtId="0" fontId="8" fillId="0" borderId="0" xfId="12" applyFont="1" applyBorder="1" applyAlignment="1">
      <alignment vertical="center"/>
    </xf>
    <xf numFmtId="170" fontId="8" fillId="0" borderId="0" xfId="12" applyNumberFormat="1" applyFont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0" fontId="30" fillId="21" borderId="15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0" fillId="21" borderId="11" xfId="0" applyFont="1" applyFill="1" applyBorder="1" applyAlignment="1">
      <alignment horizontal="center" vertical="center"/>
    </xf>
    <xf numFmtId="0" fontId="30" fillId="21" borderId="14" xfId="0" applyFont="1" applyFill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9" fontId="38" fillId="0" borderId="0" xfId="0" applyNumberFormat="1" applyFont="1" applyAlignment="1">
      <alignment vertical="center"/>
    </xf>
    <xf numFmtId="174" fontId="30" fillId="0" borderId="0" xfId="0" applyNumberFormat="1" applyFont="1" applyAlignment="1">
      <alignment vertical="center"/>
    </xf>
    <xf numFmtId="174" fontId="38" fillId="0" borderId="0" xfId="0" applyNumberFormat="1" applyFont="1" applyAlignment="1">
      <alignment vertical="center"/>
    </xf>
    <xf numFmtId="0" fontId="30" fillId="22" borderId="20" xfId="0" applyFont="1" applyFill="1" applyBorder="1" applyAlignment="1">
      <alignment vertical="center"/>
    </xf>
    <xf numFmtId="9" fontId="38" fillId="22" borderId="21" xfId="0" applyNumberFormat="1" applyFont="1" applyFill="1" applyBorder="1" applyAlignment="1">
      <alignment vertical="center"/>
    </xf>
    <xf numFmtId="175" fontId="38" fillId="22" borderId="21" xfId="0" applyNumberFormat="1" applyFont="1" applyFill="1" applyBorder="1" applyAlignment="1">
      <alignment vertical="center"/>
    </xf>
    <xf numFmtId="0" fontId="30" fillId="22" borderId="19" xfId="0" applyFont="1" applyFill="1" applyBorder="1" applyAlignment="1">
      <alignment vertical="center"/>
    </xf>
    <xf numFmtId="10" fontId="38" fillId="22" borderId="13" xfId="0" applyNumberFormat="1" applyFont="1" applyFill="1" applyBorder="1" applyAlignment="1">
      <alignment vertical="center"/>
    </xf>
    <xf numFmtId="1" fontId="10" fillId="16" borderId="2" xfId="0" applyNumberFormat="1" applyFont="1" applyFill="1" applyBorder="1" applyAlignment="1">
      <alignment vertical="center"/>
    </xf>
    <xf numFmtId="1" fontId="10" fillId="16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66" fontId="8" fillId="0" borderId="2" xfId="11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vertical="center"/>
    </xf>
    <xf numFmtId="173" fontId="8" fillId="0" borderId="2" xfId="0" applyNumberFormat="1" applyFont="1" applyFill="1" applyBorder="1" applyAlignment="1">
      <alignment vertical="center"/>
    </xf>
    <xf numFmtId="176" fontId="8" fillId="0" borderId="2" xfId="11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0" fontId="30" fillId="22" borderId="2" xfId="0" applyFont="1" applyFill="1" applyBorder="1" applyAlignment="1">
      <alignment vertical="center"/>
    </xf>
    <xf numFmtId="177" fontId="30" fillId="22" borderId="2" xfId="0" applyNumberFormat="1" applyFont="1" applyFill="1" applyBorder="1" applyAlignment="1">
      <alignment vertical="center"/>
    </xf>
    <xf numFmtId="0" fontId="9" fillId="8" borderId="2" xfId="1" applyFont="1" applyFill="1" applyBorder="1" applyAlignment="1">
      <alignment horizontal="center" vertical="center"/>
    </xf>
    <xf numFmtId="0" fontId="14" fillId="8" borderId="0" xfId="1" applyFont="1" applyFill="1" applyBorder="1" applyAlignment="1">
      <alignment vertical="center"/>
    </xf>
    <xf numFmtId="165" fontId="14" fillId="8" borderId="0" xfId="14" applyFont="1" applyFill="1" applyBorder="1" applyAlignment="1">
      <alignment vertical="center"/>
    </xf>
    <xf numFmtId="0" fontId="14" fillId="8" borderId="0" xfId="1" applyFont="1" applyFill="1" applyBorder="1" applyAlignment="1">
      <alignment horizontal="center" vertical="center"/>
    </xf>
    <xf numFmtId="0" fontId="14" fillId="8" borderId="0" xfId="1" applyFont="1" applyFill="1" applyBorder="1" applyAlignment="1">
      <alignment horizontal="right" vertical="center"/>
    </xf>
    <xf numFmtId="0" fontId="14" fillId="8" borderId="0" xfId="1" applyFont="1" applyFill="1" applyAlignment="1">
      <alignment vertical="center"/>
    </xf>
    <xf numFmtId="0" fontId="14" fillId="8" borderId="0" xfId="1" applyFont="1" applyFill="1" applyBorder="1" applyAlignment="1">
      <alignment horizontal="left" vertical="center"/>
    </xf>
    <xf numFmtId="4" fontId="14" fillId="2" borderId="0" xfId="1" applyNumberFormat="1" applyFont="1" applyFill="1" applyBorder="1" applyAlignment="1">
      <alignment horizontal="left" vertical="center"/>
    </xf>
    <xf numFmtId="2" fontId="14" fillId="2" borderId="0" xfId="1" applyNumberFormat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>
      <alignment vertical="center"/>
    </xf>
    <xf numFmtId="0" fontId="9" fillId="8" borderId="0" xfId="1" applyFont="1" applyFill="1" applyAlignment="1">
      <alignment horizontal="left" vertical="center"/>
    </xf>
    <xf numFmtId="0" fontId="23" fillId="8" borderId="2" xfId="1" applyFont="1" applyFill="1" applyBorder="1" applyAlignment="1">
      <alignment horizontal="left" vertical="center"/>
    </xf>
    <xf numFmtId="165" fontId="14" fillId="8" borderId="2" xfId="14" applyFont="1" applyFill="1" applyBorder="1" applyAlignment="1">
      <alignment horizontal="left" vertical="center"/>
    </xf>
    <xf numFmtId="0" fontId="14" fillId="8" borderId="2" xfId="1" applyFont="1" applyFill="1" applyBorder="1" applyAlignment="1">
      <alignment horizontal="center" vertical="center"/>
    </xf>
    <xf numFmtId="0" fontId="14" fillId="8" borderId="2" xfId="1" applyFont="1" applyFill="1" applyBorder="1" applyAlignment="1">
      <alignment horizontal="right" vertical="center"/>
    </xf>
    <xf numFmtId="0" fontId="14" fillId="8" borderId="2" xfId="1" applyFont="1" applyFill="1" applyBorder="1" applyAlignment="1">
      <alignment horizontal="left" vertical="center"/>
    </xf>
    <xf numFmtId="165" fontId="42" fillId="8" borderId="2" xfId="14" applyFont="1" applyFill="1" applyBorder="1" applyAlignment="1">
      <alignment horizontal="left" vertical="center" shrinkToFit="1"/>
    </xf>
    <xf numFmtId="0" fontId="14" fillId="11" borderId="2" xfId="1" applyFont="1" applyFill="1" applyBorder="1" applyAlignment="1">
      <alignment horizontal="center" vertical="center"/>
    </xf>
    <xf numFmtId="165" fontId="14" fillId="11" borderId="2" xfId="14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165" fontId="9" fillId="8" borderId="2" xfId="14" applyFont="1" applyFill="1" applyBorder="1" applyAlignment="1">
      <alignment horizontal="left" vertical="center"/>
    </xf>
    <xf numFmtId="0" fontId="14" fillId="0" borderId="2" xfId="1" applyFont="1" applyBorder="1" applyAlignment="1">
      <alignment horizontal="right" vertical="center"/>
    </xf>
    <xf numFmtId="165" fontId="14" fillId="0" borderId="2" xfId="14" applyFont="1" applyBorder="1" applyAlignment="1">
      <alignment horizontal="left" vertical="center"/>
    </xf>
    <xf numFmtId="0" fontId="14" fillId="5" borderId="2" xfId="1" applyNumberFormat="1" applyFont="1" applyFill="1" applyBorder="1" applyAlignment="1">
      <alignment horizontal="right" vertical="center"/>
    </xf>
    <xf numFmtId="165" fontId="14" fillId="5" borderId="2" xfId="14" applyFont="1" applyFill="1" applyBorder="1" applyAlignment="1">
      <alignment horizontal="left" vertical="center"/>
    </xf>
    <xf numFmtId="165" fontId="9" fillId="5" borderId="2" xfId="14" applyFont="1" applyFill="1" applyBorder="1" applyAlignment="1">
      <alignment horizontal="left" vertical="center"/>
    </xf>
    <xf numFmtId="0" fontId="9" fillId="13" borderId="2" xfId="1" applyFont="1" applyFill="1" applyBorder="1" applyAlignment="1">
      <alignment horizontal="center" vertical="center"/>
    </xf>
    <xf numFmtId="0" fontId="9" fillId="13" borderId="2" xfId="1" applyNumberFormat="1" applyFont="1" applyFill="1" applyBorder="1" applyAlignment="1">
      <alignment horizontal="right" vertical="center"/>
    </xf>
    <xf numFmtId="165" fontId="9" fillId="13" borderId="2" xfId="14" applyFont="1" applyFill="1" applyBorder="1" applyAlignment="1">
      <alignment horizontal="left" vertical="center"/>
    </xf>
    <xf numFmtId="0" fontId="9" fillId="12" borderId="2" xfId="1" applyFont="1" applyFill="1" applyBorder="1" applyAlignment="1">
      <alignment horizontal="center" vertical="center"/>
    </xf>
    <xf numFmtId="0" fontId="9" fillId="12" borderId="2" xfId="1" applyNumberFormat="1" applyFont="1" applyFill="1" applyBorder="1" applyAlignment="1">
      <alignment horizontal="right" vertical="center"/>
    </xf>
    <xf numFmtId="165" fontId="9" fillId="12" borderId="2" xfId="14" applyFont="1" applyFill="1" applyBorder="1" applyAlignment="1">
      <alignment horizontal="left" vertical="center"/>
    </xf>
    <xf numFmtId="0" fontId="14" fillId="8" borderId="0" xfId="1" applyFont="1" applyFill="1" applyAlignment="1">
      <alignment horizontal="left" vertical="center"/>
    </xf>
    <xf numFmtId="0" fontId="14" fillId="8" borderId="2" xfId="1" applyNumberFormat="1" applyFont="1" applyFill="1" applyBorder="1" applyAlignment="1">
      <alignment horizontal="right" vertical="center"/>
    </xf>
    <xf numFmtId="0" fontId="14" fillId="12" borderId="2" xfId="1" applyFont="1" applyFill="1" applyBorder="1" applyAlignment="1">
      <alignment horizontal="center" vertical="center"/>
    </xf>
    <xf numFmtId="0" fontId="14" fillId="12" borderId="2" xfId="1" applyNumberFormat="1" applyFont="1" applyFill="1" applyBorder="1" applyAlignment="1">
      <alignment horizontal="right" vertical="center"/>
    </xf>
    <xf numFmtId="165" fontId="14" fillId="12" borderId="2" xfId="14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166" fontId="9" fillId="2" borderId="0" xfId="11" applyFont="1" applyFill="1" applyBorder="1" applyAlignment="1">
      <alignment vertical="center"/>
    </xf>
    <xf numFmtId="0" fontId="9" fillId="14" borderId="2" xfId="1" applyFont="1" applyFill="1" applyBorder="1" applyAlignment="1">
      <alignment horizontal="center" vertical="center"/>
    </xf>
    <xf numFmtId="0" fontId="9" fillId="14" borderId="2" xfId="1" applyNumberFormat="1" applyFont="1" applyFill="1" applyBorder="1" applyAlignment="1">
      <alignment horizontal="right" vertical="center"/>
    </xf>
    <xf numFmtId="165" fontId="9" fillId="14" borderId="2" xfId="14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166" fontId="14" fillId="2" borderId="0" xfId="11" applyFont="1" applyFill="1" applyBorder="1" applyAlignment="1">
      <alignment vertical="center"/>
    </xf>
    <xf numFmtId="165" fontId="9" fillId="12" borderId="4" xfId="14" applyFont="1" applyFill="1" applyBorder="1" applyAlignment="1">
      <alignment horizontal="left" vertical="center"/>
    </xf>
    <xf numFmtId="0" fontId="14" fillId="8" borderId="4" xfId="1" applyFont="1" applyFill="1" applyBorder="1" applyAlignment="1">
      <alignment horizontal="left" vertical="center"/>
    </xf>
    <xf numFmtId="0" fontId="14" fillId="8" borderId="6" xfId="1" applyFont="1" applyFill="1" applyBorder="1" applyAlignment="1">
      <alignment horizontal="left" vertical="center"/>
    </xf>
    <xf numFmtId="165" fontId="14" fillId="8" borderId="3" xfId="14" applyFont="1" applyFill="1" applyBorder="1" applyAlignment="1">
      <alignment horizontal="left" vertical="center"/>
    </xf>
    <xf numFmtId="166" fontId="9" fillId="2" borderId="0" xfId="0" applyNumberFormat="1" applyFont="1" applyFill="1" applyBorder="1" applyAlignment="1">
      <alignment vertical="center"/>
    </xf>
    <xf numFmtId="171" fontId="14" fillId="8" borderId="0" xfId="1" applyNumberFormat="1" applyFont="1" applyFill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170" fontId="9" fillId="2" borderId="0" xfId="0" applyNumberFormat="1" applyFont="1" applyFill="1" applyBorder="1" applyAlignment="1">
      <alignment vertical="center"/>
    </xf>
    <xf numFmtId="0" fontId="14" fillId="2" borderId="0" xfId="12" applyFont="1" applyFill="1" applyBorder="1" applyAlignment="1">
      <alignment vertical="center" wrapText="1"/>
    </xf>
    <xf numFmtId="0" fontId="9" fillId="5" borderId="2" xfId="1" applyFont="1" applyFill="1" applyBorder="1" applyAlignment="1">
      <alignment horizontal="center" vertical="center"/>
    </xf>
    <xf numFmtId="0" fontId="9" fillId="5" borderId="2" xfId="1" applyNumberFormat="1" applyFont="1" applyFill="1" applyBorder="1" applyAlignment="1">
      <alignment horizontal="right" vertical="center"/>
    </xf>
    <xf numFmtId="9" fontId="9" fillId="14" borderId="2" xfId="1" applyNumberFormat="1" applyFont="1" applyFill="1" applyBorder="1" applyAlignment="1">
      <alignment horizontal="center" vertical="center"/>
    </xf>
    <xf numFmtId="0" fontId="9" fillId="14" borderId="3" xfId="1" applyNumberFormat="1" applyFont="1" applyFill="1" applyBorder="1" applyAlignment="1">
      <alignment horizontal="right" vertical="center"/>
    </xf>
    <xf numFmtId="9" fontId="14" fillId="8" borderId="2" xfId="1" applyNumberFormat="1" applyFont="1" applyFill="1" applyBorder="1" applyAlignment="1">
      <alignment horizontal="center" vertical="center"/>
    </xf>
    <xf numFmtId="165" fontId="9" fillId="15" borderId="2" xfId="14" applyFont="1" applyFill="1" applyBorder="1" applyAlignment="1">
      <alignment horizontal="left" vertical="center"/>
    </xf>
    <xf numFmtId="43" fontId="14" fillId="8" borderId="0" xfId="1" applyNumberFormat="1" applyFont="1" applyFill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165" fontId="9" fillId="4" borderId="2" xfId="14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/>
    </xf>
    <xf numFmtId="165" fontId="9" fillId="5" borderId="2" xfId="14" applyFont="1" applyFill="1" applyBorder="1" applyAlignment="1">
      <alignment horizontal="center" vertical="center"/>
    </xf>
    <xf numFmtId="0" fontId="23" fillId="13" borderId="2" xfId="1" applyFont="1" applyFill="1" applyBorder="1" applyAlignment="1">
      <alignment vertical="center"/>
    </xf>
    <xf numFmtId="165" fontId="23" fillId="13" borderId="2" xfId="14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center" vertical="center"/>
    </xf>
    <xf numFmtId="165" fontId="9" fillId="13" borderId="2" xfId="14" applyFont="1" applyFill="1" applyBorder="1" applyAlignment="1">
      <alignment horizontal="center" vertical="center"/>
    </xf>
    <xf numFmtId="0" fontId="9" fillId="12" borderId="2" xfId="1" applyFont="1" applyFill="1" applyBorder="1" applyAlignment="1">
      <alignment vertical="center"/>
    </xf>
    <xf numFmtId="165" fontId="9" fillId="12" borderId="2" xfId="14" applyFont="1" applyFill="1" applyBorder="1" applyAlignment="1">
      <alignment vertical="center"/>
    </xf>
    <xf numFmtId="165" fontId="14" fillId="2" borderId="2" xfId="14" applyFont="1" applyFill="1" applyBorder="1" applyAlignment="1">
      <alignment horizontal="center" vertical="center"/>
    </xf>
    <xf numFmtId="165" fontId="9" fillId="13" borderId="2" xfId="14" applyFont="1" applyFill="1" applyBorder="1" applyAlignment="1">
      <alignment vertical="center"/>
    </xf>
    <xf numFmtId="165" fontId="14" fillId="8" borderId="2" xfId="14" applyFont="1" applyFill="1" applyBorder="1" applyAlignment="1">
      <alignment horizontal="center" vertical="center"/>
    </xf>
    <xf numFmtId="0" fontId="9" fillId="5" borderId="2" xfId="1" applyFont="1" applyFill="1" applyBorder="1" applyAlignment="1">
      <alignment vertical="center"/>
    </xf>
    <xf numFmtId="165" fontId="9" fillId="5" borderId="2" xfId="14" applyFont="1" applyFill="1" applyBorder="1" applyAlignment="1">
      <alignment vertical="center"/>
    </xf>
    <xf numFmtId="165" fontId="9" fillId="4" borderId="2" xfId="14" applyFont="1" applyFill="1" applyBorder="1" applyAlignment="1">
      <alignment vertical="center"/>
    </xf>
    <xf numFmtId="165" fontId="9" fillId="2" borderId="0" xfId="14" applyFont="1" applyFill="1" applyBorder="1" applyAlignment="1">
      <alignment horizontal="center" vertical="center"/>
    </xf>
    <xf numFmtId="165" fontId="9" fillId="4" borderId="2" xfId="14" applyFont="1" applyFill="1" applyBorder="1" applyAlignment="1">
      <alignment horizontal="center" vertical="center"/>
    </xf>
    <xf numFmtId="0" fontId="14" fillId="8" borderId="0" xfId="1" applyFont="1" applyFill="1" applyAlignment="1">
      <alignment horizontal="right" vertical="center"/>
    </xf>
    <xf numFmtId="165" fontId="14" fillId="8" borderId="0" xfId="14" applyFont="1" applyFill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9" borderId="2" xfId="0" applyFont="1" applyFill="1" applyBorder="1" applyAlignment="1">
      <alignment horizontal="center" vertical="center"/>
    </xf>
    <xf numFmtId="165" fontId="9" fillId="9" borderId="2" xfId="14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left" indent="1"/>
    </xf>
    <xf numFmtId="0" fontId="14" fillId="2" borderId="2" xfId="0" applyFont="1" applyFill="1" applyBorder="1" applyAlignment="1">
      <alignment horizontal="center" vertical="center"/>
    </xf>
    <xf numFmtId="166" fontId="14" fillId="2" borderId="2" xfId="11" applyFont="1" applyFill="1" applyBorder="1" applyAlignment="1">
      <alignment horizontal="right"/>
    </xf>
    <xf numFmtId="166" fontId="14" fillId="2" borderId="3" xfId="11" applyFont="1" applyFill="1" applyBorder="1" applyAlignment="1">
      <alignment horizontal="right"/>
    </xf>
    <xf numFmtId="0" fontId="14" fillId="0" borderId="2" xfId="0" applyFont="1" applyBorder="1" applyAlignment="1">
      <alignment horizontal="left" vertical="center" indent="1"/>
    </xf>
    <xf numFmtId="0" fontId="14" fillId="0" borderId="2" xfId="0" applyFont="1" applyBorder="1" applyAlignment="1">
      <alignment horizontal="center" vertical="center"/>
    </xf>
    <xf numFmtId="165" fontId="14" fillId="0" borderId="2" xfId="14" applyFont="1" applyBorder="1" applyAlignment="1">
      <alignment horizontal="center" vertical="center"/>
    </xf>
    <xf numFmtId="170" fontId="9" fillId="9" borderId="2" xfId="0" applyNumberFormat="1" applyFont="1" applyFill="1" applyBorder="1" applyAlignment="1">
      <alignment horizontal="right"/>
    </xf>
    <xf numFmtId="0" fontId="14" fillId="8" borderId="0" xfId="1" applyFont="1" applyFill="1" applyAlignment="1">
      <alignment horizontal="center" vertical="center"/>
    </xf>
    <xf numFmtId="1" fontId="9" fillId="9" borderId="2" xfId="14" applyNumberFormat="1" applyFont="1" applyFill="1" applyBorder="1" applyAlignment="1">
      <alignment horizontal="center" vertical="center"/>
    </xf>
    <xf numFmtId="1" fontId="9" fillId="9" borderId="2" xfId="0" applyNumberFormat="1" applyFont="1" applyFill="1" applyBorder="1" applyAlignment="1">
      <alignment horizontal="center" vertical="center"/>
    </xf>
    <xf numFmtId="2" fontId="14" fillId="2" borderId="2" xfId="14" applyNumberFormat="1" applyFont="1" applyFill="1" applyBorder="1" applyAlignment="1">
      <alignment horizontal="center" vertical="center"/>
    </xf>
    <xf numFmtId="2" fontId="14" fillId="0" borderId="2" xfId="14" applyNumberFormat="1" applyFont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0" fontId="23" fillId="13" borderId="2" xfId="1" applyFont="1" applyFill="1" applyBorder="1" applyAlignment="1">
      <alignment horizontal="left" vertical="center"/>
    </xf>
    <xf numFmtId="0" fontId="9" fillId="12" borderId="2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71" fontId="26" fillId="2" borderId="0" xfId="0" applyNumberFormat="1" applyFont="1" applyFill="1" applyBorder="1" applyAlignment="1">
      <alignment horizontal="center" vertical="center"/>
    </xf>
    <xf numFmtId="4" fontId="26" fillId="2" borderId="0" xfId="0" applyNumberFormat="1" applyFont="1" applyFill="1" applyBorder="1" applyAlignment="1">
      <alignment horizontal="center" vertical="center"/>
    </xf>
    <xf numFmtId="2" fontId="32" fillId="2" borderId="2" xfId="14" applyNumberFormat="1" applyFont="1" applyFill="1" applyBorder="1" applyAlignment="1">
      <alignment horizontal="center" vertical="center"/>
    </xf>
    <xf numFmtId="165" fontId="14" fillId="2" borderId="2" xfId="14" applyFont="1" applyFill="1" applyBorder="1" applyAlignment="1">
      <alignment horizontal="center"/>
    </xf>
    <xf numFmtId="0" fontId="9" fillId="4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" fontId="9" fillId="9" borderId="4" xfId="14" applyNumberFormat="1" applyFont="1" applyFill="1" applyBorder="1" applyAlignment="1">
      <alignment horizontal="center" vertical="center"/>
    </xf>
    <xf numFmtId="1" fontId="9" fillId="9" borderId="3" xfId="0" applyNumberFormat="1" applyFont="1" applyFill="1" applyBorder="1" applyAlignment="1">
      <alignment horizontal="center" vertical="center"/>
    </xf>
    <xf numFmtId="165" fontId="14" fillId="8" borderId="10" xfId="14" applyFont="1" applyFill="1" applyBorder="1" applyAlignment="1">
      <alignment vertical="center"/>
    </xf>
    <xf numFmtId="1" fontId="9" fillId="9" borderId="6" xfId="0" applyNumberFormat="1" applyFont="1" applyFill="1" applyBorder="1" applyAlignment="1">
      <alignment horizontal="center" vertical="center"/>
    </xf>
    <xf numFmtId="0" fontId="14" fillId="8" borderId="10" xfId="1" applyFont="1" applyFill="1" applyBorder="1" applyAlignment="1">
      <alignment vertical="center"/>
    </xf>
    <xf numFmtId="165" fontId="9" fillId="9" borderId="4" xfId="14" applyFont="1" applyFill="1" applyBorder="1" applyAlignment="1">
      <alignment vertical="center"/>
    </xf>
    <xf numFmtId="165" fontId="9" fillId="9" borderId="2" xfId="14" applyFont="1" applyFill="1" applyBorder="1" applyAlignment="1">
      <alignment vertical="center"/>
    </xf>
    <xf numFmtId="165" fontId="9" fillId="9" borderId="6" xfId="14" applyFont="1" applyFill="1" applyBorder="1" applyAlignment="1">
      <alignment vertical="center"/>
    </xf>
    <xf numFmtId="165" fontId="9" fillId="9" borderId="3" xfId="14" applyFont="1" applyFill="1" applyBorder="1" applyAlignment="1">
      <alignment vertical="center"/>
    </xf>
    <xf numFmtId="180" fontId="4" fillId="0" borderId="0" xfId="12" applyNumberFormat="1"/>
    <xf numFmtId="0" fontId="3" fillId="0" borderId="0" xfId="12" applyFont="1" applyFill="1" applyBorder="1"/>
    <xf numFmtId="166" fontId="3" fillId="0" borderId="0" xfId="12" applyNumberFormat="1" applyFont="1" applyBorder="1"/>
    <xf numFmtId="0" fontId="33" fillId="0" borderId="0" xfId="12" applyFont="1"/>
    <xf numFmtId="0" fontId="3" fillId="0" borderId="0" xfId="12" applyFont="1" applyBorder="1" applyAlignment="1">
      <alignment wrapText="1"/>
    </xf>
    <xf numFmtId="0" fontId="7" fillId="0" borderId="0" xfId="12" applyFont="1" applyBorder="1"/>
    <xf numFmtId="0" fontId="4" fillId="0" borderId="2" xfId="12" applyFont="1" applyBorder="1"/>
    <xf numFmtId="166" fontId="4" fillId="0" borderId="2" xfId="11" applyFont="1" applyBorder="1"/>
    <xf numFmtId="166" fontId="4" fillId="0" borderId="0" xfId="11" applyNumberFormat="1" applyFont="1" applyBorder="1" applyAlignment="1">
      <alignment horizontal="center"/>
    </xf>
    <xf numFmtId="0" fontId="4" fillId="0" borderId="0" xfId="12" applyAlignment="1">
      <alignment horizontal="center"/>
    </xf>
    <xf numFmtId="167" fontId="0" fillId="0" borderId="0" xfId="11" applyNumberFormat="1" applyFont="1" applyBorder="1"/>
    <xf numFmtId="0" fontId="4" fillId="0" borderId="0" xfId="12" applyFill="1" applyAlignment="1">
      <alignment horizontal="center"/>
    </xf>
    <xf numFmtId="166" fontId="0" fillId="0" borderId="0" xfId="11" applyFont="1" applyBorder="1"/>
    <xf numFmtId="166" fontId="4" fillId="0" borderId="0" xfId="11" applyFont="1" applyBorder="1"/>
    <xf numFmtId="167" fontId="0" fillId="0" borderId="0" xfId="11" applyNumberFormat="1" applyFont="1" applyBorder="1" applyAlignment="1"/>
    <xf numFmtId="167" fontId="4" fillId="0" borderId="0" xfId="12" applyNumberFormat="1" applyBorder="1" applyAlignment="1">
      <alignment horizontal="center"/>
    </xf>
    <xf numFmtId="0" fontId="3" fillId="2" borderId="2" xfId="12" applyFont="1" applyFill="1" applyBorder="1"/>
    <xf numFmtId="166" fontId="4" fillId="0" borderId="0" xfId="11" applyFont="1" applyFill="1" applyBorder="1"/>
    <xf numFmtId="166" fontId="3" fillId="0" borderId="2" xfId="12" applyNumberFormat="1" applyFont="1" applyBorder="1"/>
    <xf numFmtId="0" fontId="4" fillId="0" borderId="2" xfId="12" applyFont="1" applyBorder="1" applyAlignment="1">
      <alignment horizontal="left" indent="1"/>
    </xf>
    <xf numFmtId="170" fontId="3" fillId="0" borderId="2" xfId="12" applyNumberFormat="1" applyFont="1" applyBorder="1"/>
    <xf numFmtId="0" fontId="3" fillId="0" borderId="0" xfId="12" applyFont="1" applyFill="1" applyBorder="1" applyAlignment="1"/>
    <xf numFmtId="165" fontId="4" fillId="0" borderId="2" xfId="14" applyFont="1" applyBorder="1"/>
    <xf numFmtId="165" fontId="3" fillId="0" borderId="2" xfId="14" applyFont="1" applyBorder="1"/>
    <xf numFmtId="165" fontId="14" fillId="0" borderId="0" xfId="14" applyFont="1" applyFill="1" applyAlignment="1">
      <alignment vertical="center"/>
    </xf>
    <xf numFmtId="4" fontId="26" fillId="0" borderId="0" xfId="0" applyNumberFormat="1" applyFont="1" applyFill="1" applyBorder="1" applyAlignment="1">
      <alignment horizontal="center" vertical="center"/>
    </xf>
    <xf numFmtId="0" fontId="9" fillId="13" borderId="2" xfId="1" applyFont="1" applyFill="1" applyBorder="1" applyAlignment="1">
      <alignment vertical="center"/>
    </xf>
    <xf numFmtId="0" fontId="9" fillId="13" borderId="2" xfId="1" applyFont="1" applyFill="1" applyBorder="1" applyAlignment="1">
      <alignment horizontal="left" vertical="center"/>
    </xf>
    <xf numFmtId="0" fontId="9" fillId="12" borderId="4" xfId="1" applyFont="1" applyFill="1" applyBorder="1" applyAlignment="1">
      <alignment vertical="center"/>
    </xf>
    <xf numFmtId="165" fontId="9" fillId="12" borderId="2" xfId="14" applyFont="1" applyFill="1" applyBorder="1" applyAlignment="1">
      <alignment horizontal="center" vertical="center"/>
    </xf>
    <xf numFmtId="0" fontId="9" fillId="12" borderId="4" xfId="1" applyFont="1" applyFill="1" applyBorder="1" applyAlignment="1">
      <alignment horizontal="left" vertical="center"/>
    </xf>
    <xf numFmtId="0" fontId="9" fillId="28" borderId="2" xfId="0" applyFont="1" applyFill="1" applyBorder="1"/>
    <xf numFmtId="2" fontId="9" fillId="28" borderId="2" xfId="14" applyNumberFormat="1" applyFont="1" applyFill="1" applyBorder="1" applyAlignment="1">
      <alignment horizontal="center" vertical="center"/>
    </xf>
    <xf numFmtId="165" fontId="9" fillId="28" borderId="2" xfId="14" applyFont="1" applyFill="1" applyBorder="1" applyAlignment="1">
      <alignment horizontal="center"/>
    </xf>
    <xf numFmtId="166" fontId="9" fillId="28" borderId="2" xfId="11" applyFont="1" applyFill="1" applyBorder="1" applyAlignment="1">
      <alignment horizontal="right"/>
    </xf>
    <xf numFmtId="165" fontId="9" fillId="28" borderId="4" xfId="14" applyFont="1" applyFill="1" applyBorder="1" applyAlignment="1">
      <alignment vertical="center"/>
    </xf>
    <xf numFmtId="165" fontId="9" fillId="28" borderId="2" xfId="14" applyFont="1" applyFill="1" applyBorder="1" applyAlignment="1">
      <alignment vertical="center"/>
    </xf>
    <xf numFmtId="165" fontId="9" fillId="28" borderId="6" xfId="14" applyFont="1" applyFill="1" applyBorder="1" applyAlignment="1">
      <alignment vertical="center"/>
    </xf>
    <xf numFmtId="165" fontId="9" fillId="28" borderId="3" xfId="14" applyFont="1" applyFill="1" applyBorder="1" applyAlignment="1">
      <alignment vertical="center"/>
    </xf>
    <xf numFmtId="0" fontId="9" fillId="28" borderId="2" xfId="0" applyFont="1" applyFill="1" applyBorder="1" applyAlignment="1">
      <alignment vertical="center"/>
    </xf>
    <xf numFmtId="0" fontId="9" fillId="28" borderId="2" xfId="0" applyFont="1" applyFill="1" applyBorder="1" applyAlignment="1">
      <alignment horizontal="center" vertical="center"/>
    </xf>
    <xf numFmtId="165" fontId="9" fillId="28" borderId="2" xfId="14" applyFont="1" applyFill="1" applyBorder="1" applyAlignment="1">
      <alignment horizontal="center" vertical="center"/>
    </xf>
    <xf numFmtId="166" fontId="9" fillId="28" borderId="2" xfId="11" applyFont="1" applyFill="1" applyBorder="1" applyAlignment="1">
      <alignment horizontal="right" vertical="center"/>
    </xf>
    <xf numFmtId="0" fontId="3" fillId="4" borderId="2" xfId="12" applyFont="1" applyFill="1" applyBorder="1" applyAlignment="1">
      <alignment horizontal="center" wrapText="1"/>
    </xf>
    <xf numFmtId="0" fontId="3" fillId="5" borderId="2" xfId="12" applyFont="1" applyFill="1" applyBorder="1"/>
    <xf numFmtId="165" fontId="3" fillId="5" borderId="2" xfId="14" applyFont="1" applyFill="1" applyBorder="1"/>
    <xf numFmtId="167" fontId="8" fillId="2" borderId="2" xfId="2" applyNumberFormat="1" applyFont="1" applyFill="1" applyBorder="1" applyAlignment="1">
      <alignment vertical="center"/>
    </xf>
    <xf numFmtId="167" fontId="8" fillId="2" borderId="0" xfId="1" applyNumberFormat="1" applyFont="1" applyFill="1" applyAlignment="1">
      <alignment vertical="center"/>
    </xf>
    <xf numFmtId="171" fontId="8" fillId="2" borderId="2" xfId="1" applyNumberFormat="1" applyFont="1" applyFill="1" applyBorder="1" applyAlignment="1">
      <alignment vertical="center"/>
    </xf>
    <xf numFmtId="4" fontId="8" fillId="2" borderId="0" xfId="1" applyNumberFormat="1" applyFont="1" applyFill="1" applyBorder="1" applyAlignment="1">
      <alignment vertical="center"/>
    </xf>
    <xf numFmtId="43" fontId="8" fillId="2" borderId="2" xfId="2" applyNumberFormat="1" applyFont="1" applyFill="1" applyBorder="1" applyAlignment="1">
      <alignment vertical="center"/>
    </xf>
    <xf numFmtId="169" fontId="8" fillId="2" borderId="2" xfId="2" applyNumberFormat="1" applyFont="1" applyFill="1" applyBorder="1" applyAlignment="1">
      <alignment vertical="center"/>
    </xf>
    <xf numFmtId="2" fontId="8" fillId="2" borderId="0" xfId="1" applyNumberFormat="1" applyFont="1" applyFill="1" applyBorder="1" applyAlignment="1">
      <alignment vertical="center"/>
    </xf>
    <xf numFmtId="9" fontId="8" fillId="2" borderId="0" xfId="5" applyFont="1" applyFill="1" applyAlignment="1">
      <alignment vertical="center"/>
    </xf>
    <xf numFmtId="0" fontId="10" fillId="9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6" fontId="8" fillId="0" borderId="2" xfId="11" applyFont="1" applyBorder="1" applyAlignment="1">
      <alignment vertical="center"/>
    </xf>
    <xf numFmtId="167" fontId="8" fillId="2" borderId="0" xfId="2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0" fillId="6" borderId="2" xfId="1" applyFont="1" applyFill="1" applyBorder="1" applyAlignment="1">
      <alignment horizontal="center" vertical="center"/>
    </xf>
    <xf numFmtId="9" fontId="30" fillId="6" borderId="2" xfId="13" applyFont="1" applyFill="1" applyBorder="1" applyAlignment="1">
      <alignment horizontal="center" vertical="center"/>
    </xf>
    <xf numFmtId="9" fontId="30" fillId="6" borderId="2" xfId="13" applyFont="1" applyFill="1" applyBorder="1" applyAlignment="1">
      <alignment horizontal="center" vertical="center" wrapText="1"/>
    </xf>
    <xf numFmtId="0" fontId="30" fillId="6" borderId="2" xfId="1" applyFont="1" applyFill="1" applyBorder="1" applyAlignment="1">
      <alignment horizontal="center" vertical="center" wrapText="1"/>
    </xf>
    <xf numFmtId="171" fontId="30" fillId="0" borderId="2" xfId="0" applyNumberFormat="1" applyFont="1" applyBorder="1" applyAlignment="1">
      <alignment vertical="center"/>
    </xf>
    <xf numFmtId="165" fontId="10" fillId="9" borderId="2" xfId="14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/>
    </xf>
    <xf numFmtId="166" fontId="10" fillId="5" borderId="2" xfId="11" applyFont="1" applyFill="1" applyBorder="1" applyAlignment="1">
      <alignment vertical="center"/>
    </xf>
    <xf numFmtId="166" fontId="8" fillId="2" borderId="2" xfId="2" applyNumberFormat="1" applyFont="1" applyFill="1" applyBorder="1" applyAlignment="1">
      <alignment vertical="center"/>
    </xf>
    <xf numFmtId="0" fontId="16" fillId="0" borderId="0" xfId="6" applyFont="1" applyFill="1" applyAlignment="1">
      <alignment vertical="center"/>
    </xf>
    <xf numFmtId="0" fontId="21" fillId="0" borderId="2" xfId="6" applyFont="1" applyFill="1" applyBorder="1" applyAlignment="1">
      <alignment vertical="center" wrapText="1"/>
    </xf>
    <xf numFmtId="165" fontId="15" fillId="0" borderId="2" xfId="14" applyFont="1" applyFill="1" applyBorder="1" applyAlignment="1">
      <alignment vertical="center"/>
    </xf>
    <xf numFmtId="165" fontId="19" fillId="11" borderId="2" xfId="14" applyFont="1" applyFill="1" applyBorder="1" applyAlignment="1">
      <alignment vertical="center"/>
    </xf>
    <xf numFmtId="165" fontId="20" fillId="0" borderId="2" xfId="14" applyFont="1" applyBorder="1" applyAlignment="1">
      <alignment vertical="center"/>
    </xf>
    <xf numFmtId="165" fontId="20" fillId="0" borderId="2" xfId="14" applyFont="1" applyFill="1" applyBorder="1" applyAlignment="1">
      <alignment vertical="center"/>
    </xf>
    <xf numFmtId="165" fontId="22" fillId="0" borderId="2" xfId="14" applyFont="1" applyBorder="1" applyAlignment="1">
      <alignment horizontal="left" vertical="center" wrapText="1" indent="2"/>
    </xf>
    <xf numFmtId="165" fontId="21" fillId="0" borderId="2" xfId="14" applyFont="1" applyFill="1" applyBorder="1" applyAlignment="1">
      <alignment vertical="center"/>
    </xf>
    <xf numFmtId="165" fontId="15" fillId="0" borderId="2" xfId="14" applyFont="1" applyBorder="1" applyAlignment="1">
      <alignment vertical="center"/>
    </xf>
    <xf numFmtId="0" fontId="44" fillId="0" borderId="0" xfId="6" applyFont="1" applyAlignment="1">
      <alignment vertical="center"/>
    </xf>
    <xf numFmtId="165" fontId="38" fillId="0" borderId="2" xfId="14" applyFont="1" applyBorder="1" applyAlignment="1">
      <alignment vertical="center"/>
    </xf>
    <xf numFmtId="165" fontId="10" fillId="0" borderId="2" xfId="14" applyFont="1" applyBorder="1" applyAlignment="1">
      <alignment vertical="center"/>
    </xf>
    <xf numFmtId="0" fontId="45" fillId="12" borderId="0" xfId="1" applyFont="1" applyFill="1" applyBorder="1" applyAlignment="1">
      <alignment vertical="center"/>
    </xf>
    <xf numFmtId="172" fontId="45" fillId="12" borderId="0" xfId="13" applyNumberFormat="1" applyFont="1" applyFill="1" applyBorder="1" applyAlignment="1">
      <alignment vertical="center"/>
    </xf>
    <xf numFmtId="165" fontId="30" fillId="0" borderId="14" xfId="14" applyFont="1" applyBorder="1" applyAlignment="1">
      <alignment vertical="center"/>
    </xf>
    <xf numFmtId="165" fontId="30" fillId="0" borderId="12" xfId="14" applyFont="1" applyBorder="1" applyAlignment="1">
      <alignment vertical="center"/>
    </xf>
    <xf numFmtId="165" fontId="38" fillId="0" borderId="17" xfId="14" applyFont="1" applyBorder="1" applyAlignment="1">
      <alignment vertical="center"/>
    </xf>
    <xf numFmtId="165" fontId="38" fillId="0" borderId="18" xfId="14" applyFont="1" applyBorder="1" applyAlignment="1">
      <alignment vertical="center"/>
    </xf>
    <xf numFmtId="165" fontId="38" fillId="0" borderId="0" xfId="14" applyFont="1" applyBorder="1" applyAlignment="1">
      <alignment vertical="center"/>
    </xf>
    <xf numFmtId="165" fontId="38" fillId="0" borderId="21" xfId="14" applyFont="1" applyBorder="1" applyAlignment="1">
      <alignment vertical="center"/>
    </xf>
    <xf numFmtId="165" fontId="38" fillId="0" borderId="1" xfId="14" applyFont="1" applyBorder="1" applyAlignment="1">
      <alignment vertical="center"/>
    </xf>
    <xf numFmtId="165" fontId="38" fillId="0" borderId="13" xfId="14" applyFont="1" applyBorder="1" applyAlignment="1">
      <alignment vertical="center"/>
    </xf>
    <xf numFmtId="165" fontId="38" fillId="0" borderId="0" xfId="14" applyFont="1" applyAlignment="1">
      <alignment vertical="center"/>
    </xf>
    <xf numFmtId="0" fontId="30" fillId="5" borderId="15" xfId="0" applyFont="1" applyFill="1" applyBorder="1" applyAlignment="1">
      <alignment vertical="center"/>
    </xf>
    <xf numFmtId="165" fontId="30" fillId="5" borderId="14" xfId="14" applyFont="1" applyFill="1" applyBorder="1" applyAlignment="1">
      <alignment vertical="center"/>
    </xf>
    <xf numFmtId="165" fontId="30" fillId="5" borderId="12" xfId="14" applyFont="1" applyFill="1" applyBorder="1" applyAlignment="1">
      <alignment vertical="center"/>
    </xf>
    <xf numFmtId="0" fontId="4" fillId="5" borderId="2" xfId="12" applyFill="1" applyBorder="1"/>
    <xf numFmtId="0" fontId="4" fillId="5" borderId="2" xfId="12" applyFill="1" applyBorder="1" applyAlignment="1">
      <alignment horizontal="center"/>
    </xf>
    <xf numFmtId="0" fontId="15" fillId="9" borderId="24" xfId="6" applyFont="1" applyFill="1" applyBorder="1" applyAlignment="1">
      <alignment horizontal="center" vertical="center" wrapText="1"/>
    </xf>
    <xf numFmtId="0" fontId="15" fillId="9" borderId="2" xfId="6" applyFont="1" applyFill="1" applyBorder="1" applyAlignment="1">
      <alignment horizontal="center" vertical="center" wrapText="1"/>
    </xf>
    <xf numFmtId="0" fontId="15" fillId="9" borderId="24" xfId="6" applyFont="1" applyFill="1" applyBorder="1" applyAlignment="1">
      <alignment horizontal="center" vertical="center" wrapText="1"/>
    </xf>
    <xf numFmtId="0" fontId="17" fillId="0" borderId="2" xfId="6" applyFont="1" applyFill="1" applyBorder="1" applyAlignment="1">
      <alignment vertical="center" wrapText="1"/>
    </xf>
    <xf numFmtId="0" fontId="46" fillId="0" borderId="0" xfId="6" applyFont="1" applyAlignment="1">
      <alignment vertical="center"/>
    </xf>
    <xf numFmtId="0" fontId="46" fillId="5" borderId="2" xfId="6" applyFont="1" applyFill="1" applyBorder="1" applyAlignment="1">
      <alignment vertical="center" wrapText="1"/>
    </xf>
    <xf numFmtId="164" fontId="46" fillId="5" borderId="2" xfId="16" applyFont="1" applyFill="1" applyBorder="1" applyAlignment="1">
      <alignment horizontal="center" vertical="center"/>
    </xf>
    <xf numFmtId="1" fontId="46" fillId="5" borderId="2" xfId="16" applyNumberFormat="1" applyFont="1" applyFill="1" applyBorder="1" applyAlignment="1">
      <alignment horizontal="center" vertical="center"/>
    </xf>
    <xf numFmtId="165" fontId="46" fillId="5" borderId="2" xfId="14" applyFont="1" applyFill="1" applyBorder="1" applyAlignment="1">
      <alignment vertical="center"/>
    </xf>
    <xf numFmtId="165" fontId="46" fillId="5" borderId="2" xfId="14" applyFont="1" applyFill="1" applyBorder="1" applyAlignment="1">
      <alignment horizontal="center" vertical="center"/>
    </xf>
    <xf numFmtId="0" fontId="15" fillId="18" borderId="2" xfId="6" applyFont="1" applyFill="1" applyBorder="1" applyAlignment="1">
      <alignment vertical="center" wrapText="1"/>
    </xf>
    <xf numFmtId="164" fontId="15" fillId="18" borderId="2" xfId="16" applyFont="1" applyFill="1" applyBorder="1" applyAlignment="1">
      <alignment horizontal="center" vertical="center"/>
    </xf>
    <xf numFmtId="1" fontId="15" fillId="18" borderId="2" xfId="16" applyNumberFormat="1" applyFont="1" applyFill="1" applyBorder="1" applyAlignment="1">
      <alignment horizontal="center" vertical="center"/>
    </xf>
    <xf numFmtId="165" fontId="15" fillId="18" borderId="2" xfId="14" applyFont="1" applyFill="1" applyBorder="1" applyAlignment="1">
      <alignment vertical="center"/>
    </xf>
    <xf numFmtId="0" fontId="27" fillId="18" borderId="2" xfId="6" applyFont="1" applyFill="1" applyBorder="1" applyAlignment="1">
      <alignment vertical="center" wrapText="1"/>
    </xf>
    <xf numFmtId="164" fontId="27" fillId="18" borderId="2" xfId="16" applyFont="1" applyFill="1" applyBorder="1" applyAlignment="1">
      <alignment horizontal="center" vertical="center"/>
    </xf>
    <xf numFmtId="1" fontId="27" fillId="18" borderId="2" xfId="16" applyNumberFormat="1" applyFont="1" applyFill="1" applyBorder="1" applyAlignment="1">
      <alignment horizontal="center" vertical="center"/>
    </xf>
    <xf numFmtId="165" fontId="27" fillId="18" borderId="2" xfId="14" applyFont="1" applyFill="1" applyBorder="1" applyAlignment="1">
      <alignment vertical="center"/>
    </xf>
    <xf numFmtId="0" fontId="47" fillId="11" borderId="2" xfId="6" applyFont="1" applyFill="1" applyBorder="1" applyAlignment="1">
      <alignment vertical="center" wrapText="1"/>
    </xf>
    <xf numFmtId="164" fontId="47" fillId="11" borderId="2" xfId="16" applyFont="1" applyFill="1" applyBorder="1" applyAlignment="1">
      <alignment horizontal="center" vertical="center"/>
    </xf>
    <xf numFmtId="1" fontId="47" fillId="11" borderId="2" xfId="16" applyNumberFormat="1" applyFont="1" applyFill="1" applyBorder="1" applyAlignment="1">
      <alignment horizontal="center" vertical="center"/>
    </xf>
    <xf numFmtId="165" fontId="47" fillId="11" borderId="2" xfId="14" applyFont="1" applyFill="1" applyBorder="1" applyAlignment="1">
      <alignment vertical="center"/>
    </xf>
    <xf numFmtId="0" fontId="44" fillId="9" borderId="2" xfId="6" applyFont="1" applyFill="1" applyBorder="1" applyAlignment="1">
      <alignment vertical="center" wrapText="1"/>
    </xf>
    <xf numFmtId="164" fontId="44" fillId="9" borderId="2" xfId="16" applyFont="1" applyFill="1" applyBorder="1" applyAlignment="1">
      <alignment horizontal="center" vertical="center"/>
    </xf>
    <xf numFmtId="1" fontId="44" fillId="9" borderId="2" xfId="16" applyNumberFormat="1" applyFont="1" applyFill="1" applyBorder="1" applyAlignment="1">
      <alignment horizontal="center" vertical="center"/>
    </xf>
    <xf numFmtId="165" fontId="44" fillId="9" borderId="2" xfId="14" applyFont="1" applyFill="1" applyBorder="1" applyAlignment="1">
      <alignment vertical="center"/>
    </xf>
    <xf numFmtId="164" fontId="44" fillId="0" borderId="0" xfId="6" applyNumberFormat="1" applyFont="1" applyAlignment="1">
      <alignment vertical="center"/>
    </xf>
    <xf numFmtId="164" fontId="16" fillId="0" borderId="2" xfId="16" applyFont="1" applyFill="1" applyBorder="1" applyAlignment="1">
      <alignment horizontal="center" vertical="center"/>
    </xf>
    <xf numFmtId="1" fontId="16" fillId="0" borderId="2" xfId="16" applyNumberFormat="1" applyFont="1" applyFill="1" applyBorder="1" applyAlignment="1">
      <alignment horizontal="center" vertical="center"/>
    </xf>
    <xf numFmtId="0" fontId="0" fillId="0" borderId="0" xfId="0" applyFont="1"/>
    <xf numFmtId="0" fontId="19" fillId="0" borderId="2" xfId="6" applyFont="1" applyFill="1" applyBorder="1" applyAlignment="1">
      <alignment horizontal="left" vertical="center" wrapText="1" indent="1"/>
    </xf>
    <xf numFmtId="164" fontId="19" fillId="0" borderId="2" xfId="16" applyFont="1" applyFill="1" applyBorder="1" applyAlignment="1">
      <alignment horizontal="center" vertical="center"/>
    </xf>
    <xf numFmtId="1" fontId="19" fillId="0" borderId="2" xfId="16" applyNumberFormat="1" applyFont="1" applyFill="1" applyBorder="1" applyAlignment="1">
      <alignment horizontal="center" vertical="center"/>
    </xf>
    <xf numFmtId="165" fontId="19" fillId="0" borderId="2" xfId="14" applyFont="1" applyFill="1" applyBorder="1" applyAlignment="1">
      <alignment vertical="center"/>
    </xf>
    <xf numFmtId="0" fontId="0" fillId="0" borderId="0" xfId="0" applyFill="1"/>
    <xf numFmtId="0" fontId="49" fillId="0" borderId="0" xfId="0" applyFont="1"/>
    <xf numFmtId="164" fontId="44" fillId="5" borderId="2" xfId="16" applyFont="1" applyFill="1" applyBorder="1" applyAlignment="1">
      <alignment horizontal="center" vertical="center"/>
    </xf>
    <xf numFmtId="1" fontId="44" fillId="5" borderId="2" xfId="16" applyNumberFormat="1" applyFont="1" applyFill="1" applyBorder="1" applyAlignment="1">
      <alignment horizontal="center" vertical="center"/>
    </xf>
    <xf numFmtId="0" fontId="48" fillId="5" borderId="2" xfId="6" applyFont="1" applyFill="1" applyBorder="1" applyAlignment="1">
      <alignment vertical="center" wrapText="1"/>
    </xf>
    <xf numFmtId="164" fontId="48" fillId="5" borderId="2" xfId="16" applyFont="1" applyFill="1" applyBorder="1" applyAlignment="1">
      <alignment horizontal="center" vertical="center"/>
    </xf>
    <xf numFmtId="1" fontId="48" fillId="5" borderId="2" xfId="16" applyNumberFormat="1" applyFont="1" applyFill="1" applyBorder="1" applyAlignment="1">
      <alignment horizontal="center" vertical="center"/>
    </xf>
    <xf numFmtId="181" fontId="44" fillId="5" borderId="2" xfId="14" applyNumberFormat="1" applyFont="1" applyFill="1" applyBorder="1" applyAlignment="1">
      <alignment horizontal="right"/>
    </xf>
    <xf numFmtId="181" fontId="16" fillId="18" borderId="2" xfId="14" applyNumberFormat="1" applyFont="1" applyFill="1" applyBorder="1" applyAlignment="1">
      <alignment horizontal="right"/>
    </xf>
    <xf numFmtId="181" fontId="19" fillId="11" borderId="2" xfId="14" applyNumberFormat="1" applyFont="1" applyFill="1" applyBorder="1" applyAlignment="1">
      <alignment horizontal="right"/>
    </xf>
    <xf numFmtId="181" fontId="22" fillId="0" borderId="2" xfId="14" applyNumberFormat="1" applyFont="1" applyBorder="1" applyAlignment="1">
      <alignment horizontal="right" wrapText="1"/>
    </xf>
    <xf numFmtId="181" fontId="20" fillId="0" borderId="2" xfId="14" applyNumberFormat="1" applyFont="1" applyBorder="1" applyAlignment="1">
      <alignment horizontal="right"/>
    </xf>
    <xf numFmtId="181" fontId="21" fillId="0" borderId="2" xfId="14" applyNumberFormat="1" applyFont="1" applyFill="1" applyBorder="1" applyAlignment="1">
      <alignment horizontal="right"/>
    </xf>
    <xf numFmtId="181" fontId="17" fillId="18" borderId="2" xfId="14" applyNumberFormat="1" applyFont="1" applyFill="1" applyBorder="1" applyAlignment="1">
      <alignment horizontal="right"/>
    </xf>
    <xf numFmtId="181" fontId="19" fillId="0" borderId="2" xfId="14" applyNumberFormat="1" applyFont="1" applyFill="1" applyBorder="1" applyAlignment="1">
      <alignment horizontal="right"/>
    </xf>
    <xf numFmtId="181" fontId="16" fillId="0" borderId="2" xfId="14" applyNumberFormat="1" applyFont="1" applyBorder="1" applyAlignment="1">
      <alignment horizontal="right"/>
    </xf>
    <xf numFmtId="181" fontId="15" fillId="0" borderId="2" xfId="14" applyNumberFormat="1" applyFont="1" applyBorder="1" applyAlignment="1">
      <alignment horizontal="right"/>
    </xf>
    <xf numFmtId="181" fontId="48" fillId="5" borderId="2" xfId="14" applyNumberFormat="1" applyFont="1" applyFill="1" applyBorder="1" applyAlignment="1">
      <alignment horizontal="right"/>
    </xf>
    <xf numFmtId="181" fontId="50" fillId="5" borderId="2" xfId="14" applyNumberFormat="1" applyFont="1" applyFill="1" applyBorder="1" applyAlignment="1">
      <alignment horizontal="right"/>
    </xf>
    <xf numFmtId="181" fontId="15" fillId="9" borderId="2" xfId="14" applyNumberFormat="1" applyFont="1" applyFill="1" applyBorder="1" applyAlignment="1">
      <alignment horizontal="right"/>
    </xf>
    <xf numFmtId="9" fontId="44" fillId="5" borderId="2" xfId="13" applyFont="1" applyFill="1" applyBorder="1" applyAlignment="1">
      <alignment horizontal="right"/>
    </xf>
    <xf numFmtId="10" fontId="16" fillId="18" borderId="2" xfId="13" applyNumberFormat="1" applyFont="1" applyFill="1" applyBorder="1" applyAlignment="1">
      <alignment horizontal="right"/>
    </xf>
    <xf numFmtId="10" fontId="19" fillId="11" borderId="2" xfId="13" applyNumberFormat="1" applyFont="1" applyFill="1" applyBorder="1" applyAlignment="1">
      <alignment horizontal="right"/>
    </xf>
    <xf numFmtId="10" fontId="22" fillId="0" borderId="2" xfId="13" applyNumberFormat="1" applyFont="1" applyBorder="1" applyAlignment="1">
      <alignment horizontal="right" wrapText="1"/>
    </xf>
    <xf numFmtId="10" fontId="20" fillId="0" borderId="2" xfId="13" applyNumberFormat="1" applyFont="1" applyBorder="1" applyAlignment="1">
      <alignment horizontal="right"/>
    </xf>
    <xf numFmtId="10" fontId="21" fillId="0" borderId="2" xfId="13" applyNumberFormat="1" applyFont="1" applyFill="1" applyBorder="1" applyAlignment="1">
      <alignment horizontal="right"/>
    </xf>
    <xf numFmtId="10" fontId="17" fillId="18" borderId="2" xfId="13" applyNumberFormat="1" applyFont="1" applyFill="1" applyBorder="1" applyAlignment="1">
      <alignment horizontal="right"/>
    </xf>
    <xf numFmtId="10" fontId="19" fillId="0" borderId="2" xfId="13" applyNumberFormat="1" applyFont="1" applyFill="1" applyBorder="1" applyAlignment="1">
      <alignment horizontal="right"/>
    </xf>
    <xf numFmtId="10" fontId="44" fillId="5" borderId="2" xfId="13" applyNumberFormat="1" applyFont="1" applyFill="1" applyBorder="1" applyAlignment="1">
      <alignment horizontal="right"/>
    </xf>
    <xf numFmtId="10" fontId="16" fillId="0" borderId="2" xfId="13" applyNumberFormat="1" applyFont="1" applyBorder="1" applyAlignment="1">
      <alignment horizontal="right"/>
    </xf>
    <xf numFmtId="10" fontId="15" fillId="0" borderId="2" xfId="13" applyNumberFormat="1" applyFont="1" applyBorder="1" applyAlignment="1">
      <alignment horizontal="right"/>
    </xf>
    <xf numFmtId="10" fontId="50" fillId="5" borderId="2" xfId="13" applyNumberFormat="1" applyFont="1" applyFill="1" applyBorder="1" applyAlignment="1">
      <alignment horizontal="right"/>
    </xf>
    <xf numFmtId="10" fontId="15" fillId="9" borderId="2" xfId="13" applyNumberFormat="1" applyFont="1" applyFill="1" applyBorder="1" applyAlignment="1">
      <alignment horizontal="right"/>
    </xf>
    <xf numFmtId="0" fontId="15" fillId="0" borderId="0" xfId="6" applyFont="1" applyFill="1" applyBorder="1" applyAlignment="1">
      <alignment horizontal="center" vertical="center" wrapText="1"/>
    </xf>
    <xf numFmtId="181" fontId="44" fillId="0" borderId="0" xfId="14" applyNumberFormat="1" applyFont="1" applyFill="1" applyBorder="1" applyAlignment="1">
      <alignment horizontal="right"/>
    </xf>
    <xf numFmtId="181" fontId="16" fillId="0" borderId="0" xfId="14" applyNumberFormat="1" applyFont="1" applyFill="1" applyBorder="1" applyAlignment="1">
      <alignment horizontal="right"/>
    </xf>
    <xf numFmtId="181" fontId="19" fillId="0" borderId="0" xfId="14" applyNumberFormat="1" applyFont="1" applyFill="1" applyBorder="1" applyAlignment="1">
      <alignment horizontal="right"/>
    </xf>
    <xf numFmtId="181" fontId="22" fillId="0" borderId="0" xfId="14" applyNumberFormat="1" applyFont="1" applyFill="1" applyBorder="1" applyAlignment="1">
      <alignment horizontal="right" wrapText="1"/>
    </xf>
    <xf numFmtId="181" fontId="20" fillId="0" borderId="0" xfId="14" applyNumberFormat="1" applyFont="1" applyFill="1" applyBorder="1" applyAlignment="1">
      <alignment horizontal="right"/>
    </xf>
    <xf numFmtId="181" fontId="21" fillId="0" borderId="0" xfId="14" applyNumberFormat="1" applyFont="1" applyFill="1" applyBorder="1" applyAlignment="1">
      <alignment horizontal="right"/>
    </xf>
    <xf numFmtId="181" fontId="17" fillId="0" borderId="0" xfId="14" applyNumberFormat="1" applyFont="1" applyFill="1" applyBorder="1" applyAlignment="1">
      <alignment horizontal="right"/>
    </xf>
    <xf numFmtId="181" fontId="15" fillId="0" borderId="0" xfId="14" applyNumberFormat="1" applyFont="1" applyFill="1" applyBorder="1" applyAlignment="1">
      <alignment horizontal="right"/>
    </xf>
    <xf numFmtId="181" fontId="48" fillId="0" borderId="0" xfId="14" applyNumberFormat="1" applyFont="1" applyFill="1" applyBorder="1" applyAlignment="1">
      <alignment horizontal="right"/>
    </xf>
    <xf numFmtId="0" fontId="0" fillId="0" borderId="0" xfId="0" applyFill="1" applyBorder="1"/>
    <xf numFmtId="0" fontId="51" fillId="7" borderId="4" xfId="0" applyFont="1" applyFill="1" applyBorder="1" applyAlignment="1">
      <alignment horizontal="center" vertical="center"/>
    </xf>
    <xf numFmtId="0" fontId="51" fillId="7" borderId="6" xfId="0" applyFont="1" applyFill="1" applyBorder="1" applyAlignment="1">
      <alignment horizontal="center" vertical="center"/>
    </xf>
    <xf numFmtId="0" fontId="51" fillId="7" borderId="3" xfId="0" applyFont="1" applyFill="1" applyBorder="1" applyAlignment="1">
      <alignment horizontal="center" vertical="center"/>
    </xf>
    <xf numFmtId="0" fontId="51" fillId="7" borderId="2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10" fontId="52" fillId="0" borderId="0" xfId="13" applyNumberFormat="1" applyFont="1" applyAlignment="1">
      <alignment vertical="center"/>
    </xf>
    <xf numFmtId="0" fontId="51" fillId="7" borderId="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10" fontId="52" fillId="0" borderId="2" xfId="13" applyNumberFormat="1" applyFont="1" applyFill="1" applyBorder="1" applyAlignment="1">
      <alignment horizontal="center" vertical="center"/>
    </xf>
    <xf numFmtId="171" fontId="52" fillId="0" borderId="2" xfId="13" applyNumberFormat="1" applyFont="1" applyFill="1" applyBorder="1" applyAlignment="1">
      <alignment horizontal="center" vertical="center"/>
    </xf>
    <xf numFmtId="165" fontId="52" fillId="0" borderId="2" xfId="14" applyFont="1" applyFill="1" applyBorder="1" applyAlignment="1">
      <alignment vertical="center"/>
    </xf>
    <xf numFmtId="9" fontId="51" fillId="7" borderId="2" xfId="0" applyNumberFormat="1" applyFont="1" applyFill="1" applyBorder="1" applyAlignment="1">
      <alignment horizontal="center" vertical="center"/>
    </xf>
    <xf numFmtId="171" fontId="51" fillId="7" borderId="2" xfId="0" applyNumberFormat="1" applyFont="1" applyFill="1" applyBorder="1" applyAlignment="1">
      <alignment horizontal="center" vertical="center"/>
    </xf>
    <xf numFmtId="165" fontId="51" fillId="7" borderId="2" xfId="14" applyFont="1" applyFill="1" applyBorder="1" applyAlignment="1">
      <alignment horizontal="center" vertical="center"/>
    </xf>
    <xf numFmtId="165" fontId="51" fillId="5" borderId="2" xfId="14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54" fillId="0" borderId="35" xfId="0" applyFont="1" applyFill="1" applyBorder="1" applyAlignment="1">
      <alignment horizontal="center"/>
    </xf>
    <xf numFmtId="0" fontId="54" fillId="0" borderId="35" xfId="0" applyFont="1" applyFill="1" applyBorder="1" applyAlignment="1">
      <alignment horizontal="centerContinuous"/>
    </xf>
    <xf numFmtId="0" fontId="0" fillId="5" borderId="0" xfId="0" applyFill="1" applyBorder="1" applyAlignment="1"/>
    <xf numFmtId="0" fontId="0" fillId="5" borderId="1" xfId="0" applyFill="1" applyBorder="1" applyAlignment="1"/>
    <xf numFmtId="0" fontId="11" fillId="5" borderId="0" xfId="0" applyFont="1" applyFill="1" applyBorder="1" applyAlignment="1"/>
    <xf numFmtId="0" fontId="9" fillId="9" borderId="7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/>
    </xf>
    <xf numFmtId="10" fontId="14" fillId="0" borderId="33" xfId="1" applyNumberFormat="1" applyFont="1" applyFill="1" applyBorder="1" applyAlignment="1">
      <alignment horizontal="center" vertical="center"/>
    </xf>
    <xf numFmtId="10" fontId="14" fillId="26" borderId="9" xfId="1" applyNumberFormat="1" applyFont="1" applyFill="1" applyBorder="1" applyAlignment="1">
      <alignment horizontal="center" vertical="center"/>
    </xf>
    <xf numFmtId="10" fontId="14" fillId="26" borderId="2" xfId="1" applyNumberFormat="1" applyFont="1" applyFill="1" applyBorder="1" applyAlignment="1">
      <alignment horizontal="center" vertical="center"/>
    </xf>
    <xf numFmtId="10" fontId="9" fillId="0" borderId="2" xfId="1" applyNumberFormat="1" applyFont="1" applyFill="1" applyBorder="1" applyAlignment="1">
      <alignment horizontal="center" vertical="center"/>
    </xf>
    <xf numFmtId="10" fontId="9" fillId="5" borderId="31" xfId="1" applyNumberFormat="1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/>
    </xf>
    <xf numFmtId="3" fontId="10" fillId="0" borderId="2" xfId="6" applyNumberFormat="1" applyFont="1" applyFill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center" vertical="center"/>
    </xf>
    <xf numFmtId="0" fontId="27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0" fontId="9" fillId="9" borderId="7" xfId="1" applyFont="1" applyFill="1" applyBorder="1" applyAlignment="1">
      <alignment horizontal="center" vertical="center"/>
    </xf>
    <xf numFmtId="0" fontId="9" fillId="9" borderId="9" xfId="1" applyFont="1" applyFill="1" applyBorder="1" applyAlignment="1">
      <alignment horizontal="center" vertical="center"/>
    </xf>
    <xf numFmtId="0" fontId="9" fillId="9" borderId="2" xfId="1" applyFont="1" applyFill="1" applyBorder="1" applyAlignment="1">
      <alignment horizontal="center" vertical="center"/>
    </xf>
    <xf numFmtId="0" fontId="9" fillId="9" borderId="4" xfId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center" vertical="center"/>
    </xf>
    <xf numFmtId="0" fontId="38" fillId="0" borderId="5" xfId="0" applyFont="1" applyBorder="1" applyAlignment="1">
      <alignment horizontal="left"/>
    </xf>
    <xf numFmtId="0" fontId="8" fillId="2" borderId="0" xfId="1" applyFont="1" applyFill="1" applyBorder="1" applyAlignment="1">
      <alignment horizontal="center"/>
    </xf>
    <xf numFmtId="0" fontId="10" fillId="25" borderId="2" xfId="6" applyFont="1" applyFill="1" applyBorder="1" applyAlignment="1">
      <alignment horizontal="center" vertical="center"/>
    </xf>
    <xf numFmtId="0" fontId="10" fillId="9" borderId="2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 wrapText="1"/>
    </xf>
    <xf numFmtId="0" fontId="10" fillId="4" borderId="4" xfId="1" applyFont="1" applyFill="1" applyBorder="1" applyAlignment="1">
      <alignment horizontal="left" vertical="center"/>
    </xf>
    <xf numFmtId="0" fontId="10" fillId="4" borderId="3" xfId="1" applyFont="1" applyFill="1" applyBorder="1" applyAlignment="1">
      <alignment horizontal="left" vertical="center"/>
    </xf>
    <xf numFmtId="0" fontId="3" fillId="0" borderId="0" xfId="12" applyFont="1" applyBorder="1" applyAlignment="1">
      <alignment horizontal="center" wrapText="1"/>
    </xf>
    <xf numFmtId="0" fontId="51" fillId="5" borderId="4" xfId="0" applyFont="1" applyFill="1" applyBorder="1" applyAlignment="1">
      <alignment horizontal="center" vertical="center"/>
    </xf>
    <xf numFmtId="0" fontId="51" fillId="5" borderId="3" xfId="0" applyFont="1" applyFill="1" applyBorder="1" applyAlignment="1">
      <alignment horizontal="center" vertical="center"/>
    </xf>
    <xf numFmtId="0" fontId="52" fillId="5" borderId="8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51" fillId="5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left"/>
    </xf>
    <xf numFmtId="0" fontId="9" fillId="9" borderId="6" xfId="0" applyFont="1" applyFill="1" applyBorder="1" applyAlignment="1">
      <alignment horizontal="left"/>
    </xf>
    <xf numFmtId="0" fontId="9" fillId="9" borderId="3" xfId="0" applyFont="1" applyFill="1" applyBorder="1" applyAlignment="1">
      <alignment horizontal="left"/>
    </xf>
    <xf numFmtId="0" fontId="14" fillId="8" borderId="4" xfId="1" applyFont="1" applyFill="1" applyBorder="1" applyAlignment="1">
      <alignment horizontal="left" vertical="center"/>
    </xf>
    <xf numFmtId="0" fontId="14" fillId="8" borderId="6" xfId="1" applyFont="1" applyFill="1" applyBorder="1" applyAlignment="1">
      <alignment horizontal="left" vertical="center"/>
    </xf>
    <xf numFmtId="0" fontId="14" fillId="8" borderId="3" xfId="1" applyFont="1" applyFill="1" applyBorder="1" applyAlignment="1">
      <alignment horizontal="left" vertical="center"/>
    </xf>
    <xf numFmtId="0" fontId="9" fillId="14" borderId="4" xfId="1" applyFont="1" applyFill="1" applyBorder="1" applyAlignment="1">
      <alignment horizontal="left" vertical="center"/>
    </xf>
    <xf numFmtId="0" fontId="9" fillId="14" borderId="6" xfId="1" applyFont="1" applyFill="1" applyBorder="1" applyAlignment="1">
      <alignment horizontal="left" vertical="center"/>
    </xf>
    <xf numFmtId="0" fontId="9" fillId="14" borderId="3" xfId="1" applyFont="1" applyFill="1" applyBorder="1" applyAlignment="1">
      <alignment horizontal="left" vertical="center"/>
    </xf>
    <xf numFmtId="0" fontId="9" fillId="15" borderId="4" xfId="1" applyFont="1" applyFill="1" applyBorder="1" applyAlignment="1">
      <alignment horizontal="left" vertical="center"/>
    </xf>
    <xf numFmtId="0" fontId="9" fillId="15" borderId="6" xfId="1" applyFont="1" applyFill="1" applyBorder="1" applyAlignment="1">
      <alignment horizontal="left" vertical="center"/>
    </xf>
    <xf numFmtId="0" fontId="9" fillId="15" borderId="3" xfId="1" applyFont="1" applyFill="1" applyBorder="1" applyAlignment="1">
      <alignment horizontal="left" vertical="center"/>
    </xf>
    <xf numFmtId="0" fontId="23" fillId="9" borderId="0" xfId="0" applyFont="1" applyFill="1" applyAlignment="1">
      <alignment horizontal="center" vertical="center"/>
    </xf>
    <xf numFmtId="0" fontId="9" fillId="8" borderId="8" xfId="1" applyFont="1" applyFill="1" applyBorder="1" applyAlignment="1">
      <alignment horizontal="center" vertical="center"/>
    </xf>
    <xf numFmtId="0" fontId="14" fillId="8" borderId="8" xfId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righ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right" vertical="center" wrapText="1"/>
    </xf>
    <xf numFmtId="1" fontId="9" fillId="4" borderId="7" xfId="14" applyNumberFormat="1" applyFont="1" applyFill="1" applyBorder="1" applyAlignment="1">
      <alignment horizontal="center" vertical="center"/>
    </xf>
    <xf numFmtId="1" fontId="9" fillId="4" borderId="9" xfId="14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right" vertical="center"/>
    </xf>
    <xf numFmtId="0" fontId="43" fillId="10" borderId="9" xfId="1" applyFont="1" applyFill="1" applyBorder="1" applyAlignment="1">
      <alignment horizontal="center" vertical="center" shrinkToFit="1"/>
    </xf>
    <xf numFmtId="165" fontId="9" fillId="7" borderId="2" xfId="14" applyFont="1" applyFill="1" applyBorder="1" applyAlignment="1">
      <alignment horizontal="left" vertical="center" wrapText="1"/>
    </xf>
    <xf numFmtId="165" fontId="9" fillId="7" borderId="2" xfId="14" applyFont="1" applyFill="1" applyBorder="1" applyAlignment="1">
      <alignment horizontal="center" vertical="center"/>
    </xf>
    <xf numFmtId="0" fontId="9" fillId="12" borderId="2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left" vertical="center"/>
    </xf>
    <xf numFmtId="0" fontId="14" fillId="8" borderId="2" xfId="1" applyFont="1" applyFill="1" applyBorder="1" applyAlignment="1">
      <alignment horizontal="left" vertical="center"/>
    </xf>
    <xf numFmtId="0" fontId="14" fillId="11" borderId="2" xfId="1" applyFont="1" applyFill="1" applyBorder="1" applyAlignment="1">
      <alignment horizontal="center" vertical="center"/>
    </xf>
    <xf numFmtId="0" fontId="23" fillId="13" borderId="2" xfId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4" fillId="2" borderId="0" xfId="12" applyFont="1" applyFill="1" applyBorder="1" applyAlignment="1">
      <alignment horizontal="center" vertical="center" wrapText="1"/>
    </xf>
    <xf numFmtId="0" fontId="9" fillId="12" borderId="4" xfId="1" applyFont="1" applyFill="1" applyBorder="1" applyAlignment="1">
      <alignment horizontal="left" vertical="center"/>
    </xf>
    <xf numFmtId="0" fontId="9" fillId="12" borderId="6" xfId="1" applyFont="1" applyFill="1" applyBorder="1" applyAlignment="1">
      <alignment horizontal="left" vertical="center"/>
    </xf>
    <xf numFmtId="0" fontId="9" fillId="12" borderId="3" xfId="1" applyFont="1" applyFill="1" applyBorder="1" applyAlignment="1">
      <alignment horizontal="left" vertical="center"/>
    </xf>
    <xf numFmtId="0" fontId="9" fillId="5" borderId="4" xfId="1" applyFont="1" applyFill="1" applyBorder="1" applyAlignment="1">
      <alignment horizontal="left" vertical="center"/>
    </xf>
    <xf numFmtId="0" fontId="9" fillId="5" borderId="6" xfId="1" applyFont="1" applyFill="1" applyBorder="1" applyAlignment="1">
      <alignment horizontal="left" vertical="center"/>
    </xf>
    <xf numFmtId="0" fontId="9" fillId="5" borderId="3" xfId="1" applyFont="1" applyFill="1" applyBorder="1" applyAlignment="1">
      <alignment horizontal="left" vertical="center"/>
    </xf>
    <xf numFmtId="1" fontId="9" fillId="4" borderId="7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3" fillId="9" borderId="2" xfId="12" applyFont="1" applyFill="1" applyBorder="1" applyAlignment="1">
      <alignment horizontal="center" wrapText="1"/>
    </xf>
    <xf numFmtId="0" fontId="3" fillId="0" borderId="8" xfId="12" applyFont="1" applyBorder="1" applyAlignment="1">
      <alignment horizontal="center"/>
    </xf>
    <xf numFmtId="0" fontId="3" fillId="9" borderId="7" xfId="12" applyFont="1" applyFill="1" applyBorder="1" applyAlignment="1">
      <alignment horizontal="center" vertical="center" wrapText="1"/>
    </xf>
    <xf numFmtId="0" fontId="3" fillId="9" borderId="9" xfId="12" applyFont="1" applyFill="1" applyBorder="1" applyAlignment="1">
      <alignment horizontal="center" vertical="center" wrapText="1"/>
    </xf>
    <xf numFmtId="0" fontId="3" fillId="9" borderId="4" xfId="12" applyFont="1" applyFill="1" applyBorder="1" applyAlignment="1">
      <alignment horizontal="center" vertical="center"/>
    </xf>
    <xf numFmtId="0" fontId="3" fillId="9" borderId="6" xfId="12" applyFont="1" applyFill="1" applyBorder="1" applyAlignment="1">
      <alignment horizontal="center" vertical="center"/>
    </xf>
    <xf numFmtId="0" fontId="3" fillId="9" borderId="3" xfId="12" applyFont="1" applyFill="1" applyBorder="1" applyAlignment="1">
      <alignment horizontal="center" vertical="center"/>
    </xf>
    <xf numFmtId="0" fontId="3" fillId="0" borderId="15" xfId="12" applyFont="1" applyFill="1" applyBorder="1" applyAlignment="1">
      <alignment horizontal="center" vertical="center"/>
    </xf>
    <xf numFmtId="0" fontId="3" fillId="0" borderId="14" xfId="12" applyFont="1" applyFill="1" applyBorder="1" applyAlignment="1">
      <alignment horizontal="center" vertical="center"/>
    </xf>
    <xf numFmtId="0" fontId="3" fillId="0" borderId="12" xfId="12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8" fillId="2" borderId="0" xfId="1" applyFont="1" applyFill="1" applyAlignment="1">
      <alignment horizontal="right" vertical="center"/>
    </xf>
    <xf numFmtId="0" fontId="30" fillId="0" borderId="2" xfId="0" applyFont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0" fontId="30" fillId="2" borderId="0" xfId="1" applyFont="1" applyFill="1" applyAlignment="1">
      <alignment horizontal="center" vertical="center"/>
    </xf>
    <xf numFmtId="0" fontId="30" fillId="6" borderId="2" xfId="1" applyFont="1" applyFill="1" applyBorder="1" applyAlignment="1">
      <alignment horizontal="center" vertical="center"/>
    </xf>
    <xf numFmtId="0" fontId="30" fillId="6" borderId="2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41" fillId="2" borderId="8" xfId="12" applyFont="1" applyFill="1" applyBorder="1" applyAlignment="1">
      <alignment horizontal="center" vertical="center" wrapText="1"/>
    </xf>
    <xf numFmtId="0" fontId="18" fillId="18" borderId="0" xfId="6" applyFont="1" applyFill="1" applyAlignment="1">
      <alignment horizontal="center" vertical="center"/>
    </xf>
    <xf numFmtId="0" fontId="15" fillId="0" borderId="8" xfId="6" applyFont="1" applyBorder="1" applyAlignment="1">
      <alignment horizontal="left" vertical="center" wrapText="1"/>
    </xf>
    <xf numFmtId="0" fontId="15" fillId="9" borderId="2" xfId="6" applyFont="1" applyFill="1" applyBorder="1" applyAlignment="1">
      <alignment horizontal="center" vertical="center" wrapText="1"/>
    </xf>
    <xf numFmtId="0" fontId="15" fillId="9" borderId="4" xfId="6" applyFont="1" applyFill="1" applyBorder="1" applyAlignment="1">
      <alignment horizontal="center" vertical="center" wrapText="1"/>
    </xf>
    <xf numFmtId="0" fontId="15" fillId="9" borderId="6" xfId="6" applyFont="1" applyFill="1" applyBorder="1" applyAlignment="1">
      <alignment horizontal="center" vertical="center" wrapText="1"/>
    </xf>
    <xf numFmtId="0" fontId="15" fillId="9" borderId="3" xfId="6" applyFont="1" applyFill="1" applyBorder="1" applyAlignment="1">
      <alignment horizontal="center" vertical="center" wrapText="1"/>
    </xf>
    <xf numFmtId="0" fontId="15" fillId="9" borderId="24" xfId="6" applyFont="1" applyFill="1" applyBorder="1" applyAlignment="1">
      <alignment horizontal="center" vertical="center" wrapText="1"/>
    </xf>
    <xf numFmtId="0" fontId="15" fillId="9" borderId="25" xfId="6" applyFont="1" applyFill="1" applyBorder="1" applyAlignment="1">
      <alignment horizontal="center" vertical="center" wrapText="1"/>
    </xf>
    <xf numFmtId="0" fontId="15" fillId="9" borderId="7" xfId="6" applyFont="1" applyFill="1" applyBorder="1" applyAlignment="1">
      <alignment horizontal="center" vertical="center" wrapText="1"/>
    </xf>
    <xf numFmtId="0" fontId="15" fillId="9" borderId="9" xfId="6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4" borderId="2" xfId="12" applyFont="1" applyFill="1" applyBorder="1" applyAlignment="1">
      <alignment horizontal="center" vertical="center"/>
    </xf>
    <xf numFmtId="0" fontId="10" fillId="6" borderId="2" xfId="12" applyFont="1" applyFill="1" applyBorder="1" applyAlignment="1">
      <alignment horizontal="center" vertical="center"/>
    </xf>
    <xf numFmtId="0" fontId="10" fillId="6" borderId="2" xfId="12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/>
    </xf>
    <xf numFmtId="0" fontId="10" fillId="20" borderId="8" xfId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7" xfId="1" applyFont="1" applyFill="1" applyBorder="1" applyAlignment="1">
      <alignment horizontal="center" vertical="center"/>
    </xf>
    <xf numFmtId="0" fontId="10" fillId="6" borderId="9" xfId="1" applyFont="1" applyFill="1" applyBorder="1" applyAlignment="1">
      <alignment horizontal="center" vertical="center"/>
    </xf>
    <xf numFmtId="0" fontId="10" fillId="19" borderId="8" xfId="1" applyFont="1" applyFill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0" fontId="30" fillId="18" borderId="15" xfId="0" applyFont="1" applyFill="1" applyBorder="1" applyAlignment="1">
      <alignment horizontal="center" vertical="center"/>
    </xf>
    <xf numFmtId="0" fontId="30" fillId="18" borderId="14" xfId="0" applyFont="1" applyFill="1" applyBorder="1" applyAlignment="1">
      <alignment horizontal="center" vertical="center"/>
    </xf>
    <xf numFmtId="0" fontId="30" fillId="18" borderId="12" xfId="0" applyFont="1" applyFill="1" applyBorder="1" applyAlignment="1">
      <alignment horizontal="center" vertical="center"/>
    </xf>
    <xf numFmtId="0" fontId="30" fillId="21" borderId="16" xfId="0" applyFont="1" applyFill="1" applyBorder="1" applyAlignment="1">
      <alignment horizontal="center" vertical="center"/>
    </xf>
    <xf numFmtId="0" fontId="30" fillId="21" borderId="19" xfId="0" applyFont="1" applyFill="1" applyBorder="1" applyAlignment="1">
      <alignment horizontal="center" vertical="center"/>
    </xf>
    <xf numFmtId="0" fontId="30" fillId="21" borderId="17" xfId="0" applyFont="1" applyFill="1" applyBorder="1" applyAlignment="1">
      <alignment horizontal="center" vertical="center"/>
    </xf>
    <xf numFmtId="0" fontId="30" fillId="21" borderId="18" xfId="0" applyFont="1" applyFill="1" applyBorder="1" applyAlignment="1">
      <alignment horizontal="center" vertical="center"/>
    </xf>
    <xf numFmtId="0" fontId="30" fillId="10" borderId="22" xfId="0" applyFont="1" applyFill="1" applyBorder="1" applyAlignment="1">
      <alignment horizontal="left" vertical="center"/>
    </xf>
    <xf numFmtId="0" fontId="30" fillId="10" borderId="23" xfId="0" applyFont="1" applyFill="1" applyBorder="1" applyAlignment="1">
      <alignment horizontal="left" vertical="center"/>
    </xf>
    <xf numFmtId="9" fontId="10" fillId="0" borderId="2" xfId="0" applyNumberFormat="1" applyFont="1" applyBorder="1" applyAlignment="1">
      <alignment horizontal="center" vertical="center"/>
    </xf>
    <xf numFmtId="0" fontId="10" fillId="16" borderId="7" xfId="0" applyFont="1" applyFill="1" applyBorder="1" applyAlignment="1">
      <alignment horizontal="center" vertical="center"/>
    </xf>
    <xf numFmtId="0" fontId="10" fillId="16" borderId="9" xfId="0" applyFont="1" applyFill="1" applyBorder="1" applyAlignment="1">
      <alignment horizontal="center" vertical="center"/>
    </xf>
    <xf numFmtId="1" fontId="10" fillId="16" borderId="4" xfId="0" applyNumberFormat="1" applyFont="1" applyFill="1" applyBorder="1" applyAlignment="1">
      <alignment horizontal="center" vertical="center"/>
    </xf>
    <xf numFmtId="1" fontId="10" fillId="16" borderId="6" xfId="0" applyNumberFormat="1" applyFont="1" applyFill="1" applyBorder="1" applyAlignment="1">
      <alignment horizontal="center" vertical="center"/>
    </xf>
    <xf numFmtId="1" fontId="10" fillId="16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4" applyAlignment="1">
      <alignment vertical="center"/>
    </xf>
    <xf numFmtId="0" fontId="9" fillId="9" borderId="4" xfId="1" applyFont="1" applyFill="1" applyBorder="1" applyAlignment="1">
      <alignment horizontal="center" vertical="center" wrapText="1"/>
    </xf>
    <xf numFmtId="3" fontId="28" fillId="5" borderId="4" xfId="1" applyNumberFormat="1" applyFont="1" applyFill="1" applyBorder="1" applyAlignment="1">
      <alignment horizontal="center" vertical="center"/>
    </xf>
    <xf numFmtId="3" fontId="14" fillId="27" borderId="4" xfId="1" applyNumberFormat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center" vertical="center" wrapText="1"/>
    </xf>
    <xf numFmtId="3" fontId="28" fillId="5" borderId="3" xfId="1" applyNumberFormat="1" applyFont="1" applyFill="1" applyBorder="1" applyAlignment="1">
      <alignment horizontal="center" vertical="center"/>
    </xf>
    <xf numFmtId="3" fontId="14" fillId="27" borderId="3" xfId="1" applyNumberFormat="1" applyFont="1" applyFill="1" applyBorder="1" applyAlignment="1">
      <alignment horizontal="center" vertical="center"/>
    </xf>
    <xf numFmtId="0" fontId="9" fillId="9" borderId="36" xfId="1" applyFont="1" applyFill="1" applyBorder="1" applyAlignment="1">
      <alignment horizontal="center" vertical="center" wrapText="1"/>
    </xf>
    <xf numFmtId="3" fontId="28" fillId="5" borderId="37" xfId="1" applyNumberFormat="1" applyFont="1" applyFill="1" applyBorder="1" applyAlignment="1">
      <alignment horizontal="center" vertical="center"/>
    </xf>
    <xf numFmtId="3" fontId="14" fillId="27" borderId="37" xfId="1" applyNumberFormat="1" applyFont="1" applyFill="1" applyBorder="1" applyAlignment="1">
      <alignment horizontal="center" vertical="center"/>
    </xf>
    <xf numFmtId="3" fontId="14" fillId="27" borderId="38" xfId="1" applyNumberFormat="1" applyFont="1" applyFill="1" applyBorder="1" applyAlignment="1">
      <alignment horizontal="center" vertical="center"/>
    </xf>
    <xf numFmtId="0" fontId="9" fillId="9" borderId="7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/>
    </xf>
    <xf numFmtId="3" fontId="14" fillId="0" borderId="9" xfId="1" applyNumberFormat="1" applyFont="1" applyFill="1" applyBorder="1" applyAlignment="1">
      <alignment horizontal="center" vertical="center"/>
    </xf>
    <xf numFmtId="0" fontId="53" fillId="5" borderId="26" xfId="1" applyFont="1" applyFill="1" applyBorder="1" applyAlignment="1">
      <alignment horizontal="center" vertical="center"/>
    </xf>
    <xf numFmtId="3" fontId="53" fillId="5" borderId="27" xfId="1" applyNumberFormat="1" applyFont="1" applyFill="1" applyBorder="1" applyAlignment="1">
      <alignment horizontal="center" vertical="center"/>
    </xf>
    <xf numFmtId="0" fontId="10" fillId="9" borderId="3" xfId="1" applyFont="1" applyFill="1" applyBorder="1" applyAlignment="1">
      <alignment horizontal="center" vertical="center" wrapText="1"/>
    </xf>
    <xf numFmtId="3" fontId="38" fillId="0" borderId="3" xfId="0" applyNumberFormat="1" applyFont="1" applyBorder="1"/>
    <xf numFmtId="0" fontId="38" fillId="0" borderId="0" xfId="0" applyFont="1" applyBorder="1" applyAlignment="1">
      <alignment horizontal="left"/>
    </xf>
    <xf numFmtId="0" fontId="10" fillId="9" borderId="28" xfId="1" applyFont="1" applyFill="1" applyBorder="1" applyAlignment="1">
      <alignment horizontal="center" vertical="center" wrapText="1"/>
    </xf>
    <xf numFmtId="0" fontId="10" fillId="9" borderId="29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/>
    </xf>
    <xf numFmtId="3" fontId="37" fillId="2" borderId="31" xfId="1" applyNumberFormat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3" fontId="37" fillId="2" borderId="33" xfId="1" applyNumberFormat="1" applyFont="1" applyFill="1" applyBorder="1" applyAlignment="1">
      <alignment horizontal="center"/>
    </xf>
    <xf numFmtId="0" fontId="10" fillId="9" borderId="4" xfId="1" applyFont="1" applyFill="1" applyBorder="1" applyAlignment="1">
      <alignment horizontal="center" vertical="center"/>
    </xf>
    <xf numFmtId="0" fontId="10" fillId="9" borderId="4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10" fillId="9" borderId="24" xfId="1" applyFont="1" applyFill="1" applyBorder="1" applyAlignment="1">
      <alignment horizontal="center" vertical="center"/>
    </xf>
    <xf numFmtId="0" fontId="10" fillId="9" borderId="36" xfId="1" applyFont="1" applyFill="1" applyBorder="1" applyAlignment="1">
      <alignment horizontal="center" vertical="center" wrapText="1"/>
    </xf>
    <xf numFmtId="3" fontId="10" fillId="5" borderId="37" xfId="1" applyNumberFormat="1" applyFont="1" applyFill="1" applyBorder="1" applyAlignment="1">
      <alignment horizontal="center"/>
    </xf>
    <xf numFmtId="3" fontId="8" fillId="2" borderId="37" xfId="1" applyNumberFormat="1" applyFont="1" applyFill="1" applyBorder="1" applyAlignment="1">
      <alignment horizontal="center"/>
    </xf>
    <xf numFmtId="3" fontId="8" fillId="2" borderId="38" xfId="1" applyNumberFormat="1" applyFont="1" applyFill="1" applyBorder="1" applyAlignment="1">
      <alignment horizontal="center"/>
    </xf>
    <xf numFmtId="0" fontId="45" fillId="2" borderId="0" xfId="1" applyFont="1" applyFill="1" applyBorder="1" applyAlignment="1">
      <alignment horizontal="center"/>
    </xf>
    <xf numFmtId="0" fontId="10" fillId="29" borderId="2" xfId="1" applyFont="1" applyFill="1" applyBorder="1" applyAlignment="1">
      <alignment horizontal="center"/>
    </xf>
    <xf numFmtId="2" fontId="10" fillId="29" borderId="2" xfId="1" applyNumberFormat="1" applyFont="1" applyFill="1" applyBorder="1" applyAlignment="1">
      <alignment horizontal="center"/>
    </xf>
    <xf numFmtId="1" fontId="10" fillId="29" borderId="2" xfId="1" applyNumberFormat="1" applyFont="1" applyFill="1" applyBorder="1" applyAlignment="1">
      <alignment horizontal="center"/>
    </xf>
  </cellXfs>
  <cellStyles count="18">
    <cellStyle name="Hipervínculo" xfId="4" builtinId="8"/>
    <cellStyle name="Millares 2" xfId="2"/>
    <cellStyle name="Millares 2 2" xfId="8"/>
    <cellStyle name="Millares 2 3" xfId="11"/>
    <cellStyle name="Millares 3 2" xfId="10"/>
    <cellStyle name="Moneda" xfId="14" builtinId="4"/>
    <cellStyle name="Moneda 2" xfId="15"/>
    <cellStyle name="Moneda 3" xfId="16"/>
    <cellStyle name="Normal" xfId="0" builtinId="0"/>
    <cellStyle name="Normal 2" xfId="1"/>
    <cellStyle name="Normal 2 2" xfId="12"/>
    <cellStyle name="Normal 3" xfId="6"/>
    <cellStyle name="Normal 3 2" xfId="9"/>
    <cellStyle name="Porcentaje" xfId="13" builtinId="5"/>
    <cellStyle name="Porcentaje 2" xfId="5"/>
    <cellStyle name="Porcentaje 2 2" xfId="17"/>
    <cellStyle name="Porcentaje 3" xfId="7"/>
    <cellStyle name="style153753871490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PROYECTADO
( TM 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91732283464566"/>
          <c:y val="0.28217592592592594"/>
          <c:w val="0.83952712160979881"/>
          <c:h val="0.42335484106153398"/>
        </c:manualLayout>
      </c:layout>
      <c:lineChart>
        <c:grouping val="standard"/>
        <c:varyColors val="0"/>
        <c:ser>
          <c:idx val="1"/>
          <c:order val="0"/>
          <c:tx>
            <c:strRef>
              <c:f>'Analisis OX'!$C$26</c:f>
              <c:strCache>
                <c:ptCount val="1"/>
                <c:pt idx="0">
                  <c:v>
PROYECTADO
( TM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7777777777777779E-3"/>
                  <c:y val="2.77777777777777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4DC-4E86-8B07-2D894CCC6782}"/>
                </c:ext>
              </c:extLst>
            </c:dLbl>
            <c:dLbl>
              <c:idx val="1"/>
              <c:layout>
                <c:manualLayout>
                  <c:x val="0"/>
                  <c:y val="2.77777777777777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DC-4E86-8B07-2D894CCC678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'Analisis OX'!$B$27:$B$32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'Analisis OX'!$C$27:$C$32</c:f>
              <c:numCache>
                <c:formatCode>#,##0</c:formatCode>
                <c:ptCount val="6"/>
                <c:pt idx="0">
                  <c:v>30747.199999999721</c:v>
                </c:pt>
                <c:pt idx="1">
                  <c:v>32366.799999999814</c:v>
                </c:pt>
                <c:pt idx="2">
                  <c:v>33986.399999999907</c:v>
                </c:pt>
                <c:pt idx="3">
                  <c:v>35606</c:v>
                </c:pt>
                <c:pt idx="4">
                  <c:v>37225.599999999627</c:v>
                </c:pt>
                <c:pt idx="5">
                  <c:v>38845.199999999721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DC-4E86-8B07-2D894CCC6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889552"/>
        <c:axId val="1"/>
      </c:lineChart>
      <c:catAx>
        <c:axId val="209488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094889552"/>
        <c:crossesAt val="1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9803076698745989"/>
          <c:w val="0.94443941382327212"/>
          <c:h val="0.178821084864391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</c:trendlineLbl>
          </c:trendline>
          <c:xVal>
            <c:numRef>
              <c:f>'Analisis OX'!$B$4:$B$8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xVal>
          <c:yVal>
            <c:numRef>
              <c:f>'Analisis OX'!$C$4:$C$8</c:f>
              <c:numCache>
                <c:formatCode>#,##0</c:formatCode>
                <c:ptCount val="5"/>
                <c:pt idx="0">
                  <c:v>16397</c:v>
                </c:pt>
                <c:pt idx="1">
                  <c:v>17559</c:v>
                </c:pt>
                <c:pt idx="2">
                  <c:v>19379</c:v>
                </c:pt>
                <c:pt idx="3">
                  <c:v>20881</c:v>
                </c:pt>
                <c:pt idx="4">
                  <c:v>22834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CD-4C3F-949E-F1A595C25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716527"/>
        <c:axId val="1880718607"/>
      </c:scatterChart>
      <c:valAx>
        <c:axId val="1880716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80718607"/>
        <c:crosses val="autoZero"/>
        <c:crossBetween val="midCat"/>
      </c:valAx>
      <c:valAx>
        <c:axId val="188071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807165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GRÁFICO DEL PUNTO DE EQUILIBRIO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'ESTADO GyP'!$B$50</c:f>
              <c:strCache>
                <c:ptCount val="1"/>
                <c:pt idx="0">
                  <c:v>VENTAS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'ESTADO GyP'!$C$50:$G$50</c:f>
              <c:numCache>
                <c:formatCode>_(* #,##0.00_);_(* \(#,##0.00\);_(* "-"??_);_(@_)</c:formatCode>
                <c:ptCount val="5"/>
                <c:pt idx="0">
                  <c:v>683760</c:v>
                </c:pt>
                <c:pt idx="1">
                  <c:v>1449571.2000000002</c:v>
                </c:pt>
                <c:pt idx="2">
                  <c:v>2307279.7440000004</c:v>
                </c:pt>
                <c:pt idx="3">
                  <c:v>3267913.3132800008</c:v>
                </c:pt>
                <c:pt idx="4">
                  <c:v>4343822.9108736012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7A-4280-8A72-060DA61D83CD}"/>
            </c:ext>
          </c:extLst>
        </c:ser>
        <c:ser>
          <c:idx val="3"/>
          <c:order val="1"/>
          <c:tx>
            <c:strRef>
              <c:f>'ESTADO GyP'!$B$51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'ESTADO GyP'!$C$51:$G$51</c:f>
              <c:numCache>
                <c:formatCode>_(* #,##0.00_);_(* \(#,##0.00\);_(* "-"??_);_(@_)</c:formatCode>
                <c:ptCount val="5"/>
                <c:pt idx="0" formatCode="_ * #,##0.00_ ;_ * \-#,##0.00_ ;_ * &quot;-&quot;??_ ;_ @_ ">
                  <c:v>682276.28040603106</c:v>
                </c:pt>
                <c:pt idx="1">
                  <c:v>1166996.7621803954</c:v>
                </c:pt>
                <c:pt idx="2">
                  <c:v>1668934.1189547598</c:v>
                </c:pt>
                <c:pt idx="3">
                  <c:v>2189790.3507291242</c:v>
                </c:pt>
                <c:pt idx="4">
                  <c:v>2731436.6731284885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A-4280-8A72-060DA61D83CD}"/>
            </c:ext>
          </c:extLst>
        </c:ser>
        <c:ser>
          <c:idx val="4"/>
          <c:order val="2"/>
          <c:tx>
            <c:strRef>
              <c:f>'ESTADO GyP'!$B$52</c:f>
              <c:strCache>
                <c:ptCount val="1"/>
                <c:pt idx="0">
                  <c:v>COSTOS FIJOS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'ESTADO GyP'!$C$52:$G$52</c:f>
              <c:numCache>
                <c:formatCode>_(* #,##0.00_);_(* \(#,##0.00\);_(* "-"??_);_(@_)</c:formatCode>
                <c:ptCount val="5"/>
                <c:pt idx="0">
                  <c:v>21614.231774364409</c:v>
                </c:pt>
                <c:pt idx="1">
                  <c:v>21614.231774364409</c:v>
                </c:pt>
                <c:pt idx="2">
                  <c:v>21614.231774364409</c:v>
                </c:pt>
                <c:pt idx="3">
                  <c:v>21614.231774364409</c:v>
                </c:pt>
                <c:pt idx="4">
                  <c:v>21614.231774364409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7A-4280-8A72-060DA61D8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01344"/>
        <c:axId val="1"/>
      </c:lineChart>
      <c:catAx>
        <c:axId val="22190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1901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436564</xdr:colOff>
      <xdr:row>2</xdr:row>
      <xdr:rowOff>100013</xdr:rowOff>
    </xdr:from>
    <xdr:to>
      <xdr:col>6</xdr:col>
      <xdr:colOff>991</xdr:colOff>
      <xdr:row>8</xdr:row>
      <xdr:rowOff>39845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Rectángulo 5"/>
            <xdr:cNvSpPr/>
          </xdr:nvSpPr>
          <xdr:spPr>
            <a:xfrm>
              <a:off x="5976939" y="401638"/>
              <a:ext cx="2207615" cy="693895"/>
            </a:xfrm>
            <a:prstGeom prst="rect">
              <a:avLst/>
            </a:prstGeom>
            <a:solidFill>
              <a:srgbClr val="FFFF00"/>
            </a:solidFill>
            <a:ln w="12700">
              <a:solidFill>
                <a:srgbClr val="FF0000"/>
              </a:solidFill>
            </a:ln>
          </xdr:spPr>
          <xdr:txBody>
            <a:bodyPr wrap="square">
              <a:spAutoFit/>
            </a:bodyPr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810260" algn="just">
                <a:spcAft>
                  <a:spcPts val="600"/>
                </a:spcAft>
              </a:pPr>
              <a:r>
                <a:rPr lang="es-ES" sz="1000" b="1">
                  <a:solidFill>
                    <a:srgbClr val="000000"/>
                  </a:solidFill>
                  <a:latin typeface="Arial" panose="020B0604020202020204" pitchFamily="34" charset="0"/>
                  <a:ea typeface="Calibri" panose="020F0502020204030204" pitchFamily="34" charset="0"/>
                </a:rPr>
                <a:t>Fórmula:</a:t>
              </a:r>
              <a:endParaRPr lang="es-PE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indent="180340" algn="just">
                <a:lnSpc>
                  <a:spcPct val="115000"/>
                </a:lnSpc>
                <a:spcAft>
                  <a:spcPts val="30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200" i="1">
                        <a:solidFill>
                          <a:srgbClr val="000000"/>
                        </a:solidFill>
                        <a:effectLst/>
                        <a:latin typeface="Cambria Math" panose="02040503050406030204" pitchFamily="18" charset="0"/>
                        <a:ea typeface="Calibri" panose="020F0502020204030204" pitchFamily="34" charset="0"/>
                      </a:rPr>
                      <m:t>𝑇𝑐</m:t>
                    </m:r>
                    <m:r>
                      <a:rPr lang="es-ES" sz="1200" i="1">
                        <a:solidFill>
                          <a:srgbClr val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=(</m:t>
                    </m:r>
                    <m:sSub>
                      <m:sSubPr>
                        <m:ctrlPr>
                          <a:rPr lang="es-PE" sz="12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</m:ctrlPr>
                      </m:sSubPr>
                      <m:e>
                        <m:r>
                          <a:rPr lang="es-ES" sz="12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𝑃</m:t>
                        </m:r>
                      </m:e>
                      <m:sub>
                        <m:r>
                          <a:rPr lang="es-ES" sz="12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 </m:t>
                        </m:r>
                        <m:r>
                          <a:rPr lang="es-ES" sz="12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𝑓</m:t>
                        </m:r>
                      </m:sub>
                    </m:sSub>
                    <m:sSup>
                      <m:sSupPr>
                        <m:ctrlPr>
                          <a:rPr lang="es-PE" sz="12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</m:ctrlPr>
                      </m:sSupPr>
                      <m:e>
                        <m:r>
                          <a:rPr lang="es-ES" sz="12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/</m:t>
                        </m:r>
                        <m:sSub>
                          <m:sSubPr>
                            <m:ctrlPr>
                              <a:rPr lang="es-PE" sz="1200" i="1">
                                <a:solidFill>
                                  <a:srgbClr val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</m:ctrlPr>
                          </m:sSubPr>
                          <m:e>
                            <m:r>
                              <a:rPr lang="es-ES" sz="1200" i="1">
                                <a:solidFill>
                                  <a:srgbClr val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  <m:t>𝑃</m:t>
                            </m:r>
                          </m:e>
                          <m:sub>
                            <m:r>
                              <a:rPr lang="es-ES" sz="1200" i="1">
                                <a:solidFill>
                                  <a:srgbClr val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  <m:t> 0</m:t>
                            </m:r>
                          </m:sub>
                        </m:sSub>
                        <m:r>
                          <a:rPr lang="es-ES" sz="1200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)</m:t>
                        </m:r>
                      </m:e>
                      <m:sup>
                        <m:f>
                          <m:fPr>
                            <m:ctrlPr>
                              <a:rPr lang="es-PE" sz="1200" i="1">
                                <a:solidFill>
                                  <a:srgbClr val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</m:ctrlPr>
                          </m:fPr>
                          <m:num>
                            <m:r>
                              <a:rPr lang="es-ES" sz="1200" i="1">
                                <a:solidFill>
                                  <a:srgbClr val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  <m:t>1</m:t>
                            </m:r>
                          </m:num>
                          <m:den>
                            <m:r>
                              <a:rPr lang="es-ES" sz="1200" i="1">
                                <a:solidFill>
                                  <a:srgbClr val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  <m:t>𝑛</m:t>
                            </m:r>
                          </m:den>
                        </m:f>
                      </m:sup>
                    </m:sSup>
                    <m:r>
                      <a:rPr lang="es-ES" sz="1200" i="1">
                        <a:solidFill>
                          <a:srgbClr val="000000"/>
                        </a:solidFill>
                        <a:effectLst/>
                        <a:latin typeface="Cambria Math" panose="02040503050406030204" pitchFamily="18" charset="0"/>
                        <a:ea typeface="Calibri" panose="020F0502020204030204" pitchFamily="34" charset="0"/>
                      </a:rPr>
                      <m:t>−1</m:t>
                    </m:r>
                  </m:oMath>
                </m:oMathPara>
              </a14:m>
              <a:endParaRPr lang="es-PE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mc:Choice>
      <mc:Fallback xmlns="">
        <xdr:sp macro="" textlink="">
          <xdr:nvSpPr>
            <xdr:cNvPr id="6" name="Rectángulo 5"/>
            <xdr:cNvSpPr/>
          </xdr:nvSpPr>
          <xdr:spPr>
            <a:xfrm>
              <a:off x="5976939" y="401638"/>
              <a:ext cx="2207615" cy="693895"/>
            </a:xfrm>
            <a:prstGeom prst="rect">
              <a:avLst/>
            </a:prstGeom>
            <a:solidFill>
              <a:srgbClr val="FFFF00"/>
            </a:solidFill>
            <a:ln w="12700">
              <a:solidFill>
                <a:srgbClr val="FF0000"/>
              </a:solidFill>
            </a:ln>
          </xdr:spPr>
          <xdr:txBody>
            <a:bodyPr wrap="square">
              <a:spAutoFit/>
            </a:bodyPr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810260" algn="just">
                <a:spcAft>
                  <a:spcPts val="600"/>
                </a:spcAft>
              </a:pPr>
              <a:r>
                <a:rPr lang="es-ES" sz="1000" b="1">
                  <a:solidFill>
                    <a:srgbClr val="000000"/>
                  </a:solidFill>
                  <a:latin typeface="Arial" panose="020B0604020202020204" pitchFamily="34" charset="0"/>
                  <a:ea typeface="Calibri" panose="020F0502020204030204" pitchFamily="34" charset="0"/>
                </a:rPr>
                <a:t>Fórmula:</a:t>
              </a:r>
              <a:endParaRPr lang="es-PE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indent="180340" algn="just">
                <a:lnSpc>
                  <a:spcPct val="115000"/>
                </a:lnSpc>
                <a:spcAft>
                  <a:spcPts val="300"/>
                </a:spcAft>
              </a:pPr>
              <a:r>
                <a:rPr lang="es-ES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𝑇𝑐</a:t>
              </a:r>
              <a:r>
                <a:rPr lang="es-ES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lang="es-ES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𝑃</a:t>
              </a:r>
              <a:r>
                <a:rPr lang="es-PE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_(</a:t>
              </a:r>
              <a:r>
                <a:rPr lang="es-ES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 𝑓</a:t>
              </a:r>
              <a:r>
                <a:rPr lang="es-PE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) </a:t>
              </a:r>
              <a:r>
                <a:rPr lang="es-PE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</a:rPr>
                <a:t>〖</a:t>
              </a:r>
              <a:r>
                <a:rPr lang="es-ES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/𝑃</a:t>
              </a:r>
              <a:r>
                <a:rPr lang="es-PE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_(</a:t>
              </a:r>
              <a:r>
                <a:rPr lang="es-ES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 0</a:t>
              </a:r>
              <a:r>
                <a:rPr lang="es-PE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)</a:t>
              </a:r>
              <a:r>
                <a:rPr lang="es-ES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)</a:t>
              </a:r>
              <a:r>
                <a:rPr lang="es-PE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〗^(</a:t>
              </a:r>
              <a:r>
                <a:rPr lang="es-ES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1</a:t>
              </a:r>
              <a:r>
                <a:rPr lang="es-PE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/</a:t>
              </a:r>
              <a:r>
                <a:rPr lang="es-ES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𝑛</a:t>
              </a:r>
              <a:r>
                <a:rPr lang="es-PE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)</a:t>
              </a:r>
              <a:r>
                <a:rPr lang="es-ES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−1</a:t>
              </a:r>
              <a:endParaRPr lang="es-PE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mc:Fallback>
    </mc:AlternateContent>
    <xdr:clientData/>
  </xdr:twoCellAnchor>
  <xdr:twoCellAnchor editAs="oneCell">
    <xdr:from>
      <xdr:col>6</xdr:col>
      <xdr:colOff>134938</xdr:colOff>
      <xdr:row>2</xdr:row>
      <xdr:rowOff>93500</xdr:rowOff>
    </xdr:from>
    <xdr:to>
      <xdr:col>7</xdr:col>
      <xdr:colOff>660398</xdr:colOff>
      <xdr:row>8</xdr:row>
      <xdr:rowOff>31751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7813" y="395125"/>
          <a:ext cx="1517647" cy="843126"/>
        </a:xfrm>
        <a:prstGeom prst="rect">
          <a:avLst/>
        </a:prstGeom>
      </xdr:spPr>
    </xdr:pic>
    <xdr:clientData/>
  </xdr:twoCellAnchor>
  <xdr:twoCellAnchor>
    <xdr:from>
      <xdr:col>4</xdr:col>
      <xdr:colOff>730249</xdr:colOff>
      <xdr:row>13</xdr:row>
      <xdr:rowOff>7938</xdr:rowOff>
    </xdr:from>
    <xdr:to>
      <xdr:col>8</xdr:col>
      <xdr:colOff>134938</xdr:colOff>
      <xdr:row>21</xdr:row>
      <xdr:rowOff>111125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Rectángulo 7"/>
            <xdr:cNvSpPr/>
          </xdr:nvSpPr>
          <xdr:spPr>
            <a:xfrm>
              <a:off x="6270624" y="1833563"/>
              <a:ext cx="3937002" cy="1579562"/>
            </a:xfrm>
            <a:prstGeom prst="rect">
              <a:avLst/>
            </a:prstGeom>
            <a:solidFill>
              <a:srgbClr val="FFFF00"/>
            </a:solidFill>
            <a:ln w="12700">
              <a:solidFill>
                <a:srgbClr val="FF0000"/>
              </a:solidFill>
            </a:ln>
          </xdr:spPr>
          <xdr:txBody>
            <a:bodyPr wrap="square">
              <a:noAutofit/>
            </a:bodyPr>
            <a:lstStyle>
              <a:defPPr>
                <a:defRPr lang="es-ES"/>
              </a:defPPr>
              <a:lvl1pPr algn="l" defTabSz="457200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1pPr>
              <a:lvl2pPr marL="457200" algn="l" defTabSz="457200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2pPr>
              <a:lvl3pPr marL="914400" algn="l" defTabSz="457200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3pPr>
              <a:lvl4pPr marL="1371600" algn="l" defTabSz="457200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4pPr>
              <a:lvl5pPr marL="1828800" algn="l" defTabSz="457200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9pPr>
            </a:lstStyle>
            <a:p>
              <a:pPr lvl="0" algn="just">
                <a:lnSpc>
                  <a:spcPct val="115000"/>
                </a:lnSpc>
                <a:spcAft>
                  <a:spcPts val="0"/>
                </a:spcAft>
              </a:pP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Poblaciones con tendencia al infinito, son grandes poblaciones generalmente mayores a 100,000 habitantes.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algn="just">
                <a:spcAft>
                  <a:spcPts val="0"/>
                </a:spcAft>
              </a:pP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 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indent="198120" algn="just"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7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</a:rPr>
                      <m:t>𝑛</m:t>
                    </m:r>
                    <m:r>
                      <a:rPr lang="es-ES" sz="7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</a:rPr>
                      <m:t>=</m:t>
                    </m:r>
                    <m:f>
                      <m:fPr>
                        <m:ctrlPr>
                          <a:rPr lang="es-PE" sz="7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PE" sz="7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</a:rPr>
                            </m:ctrlPr>
                          </m:sSupPr>
                          <m:e>
                            <m:r>
                              <a:rPr lang="es-ES" sz="7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</a:rPr>
                              <m:t>𝑧</m:t>
                            </m:r>
                          </m:e>
                          <m:sup>
                            <m:r>
                              <a:rPr lang="es-ES" sz="7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es-ES" sz="7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</a:rPr>
                          <m:t>.</m:t>
                        </m:r>
                        <m:r>
                          <m:rPr>
                            <m:sty m:val="p"/>
                          </m:rPr>
                          <a:rPr lang="es-ES" sz="7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</a:rPr>
                          <m:t>p</m:t>
                        </m:r>
                        <m:r>
                          <a:rPr lang="es-ES" sz="7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</a:rPr>
                          <m:t>.</m:t>
                        </m:r>
                        <m:r>
                          <m:rPr>
                            <m:sty m:val="p"/>
                          </m:rPr>
                          <a:rPr lang="es-ES" sz="7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</a:rPr>
                          <m:t>q</m:t>
                        </m:r>
                      </m:num>
                      <m:den>
                        <m:sSup>
                          <m:sSupPr>
                            <m:ctrlPr>
                              <a:rPr lang="es-PE" sz="7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</a:rPr>
                            </m:ctrlPr>
                          </m:sSupPr>
                          <m:e>
                            <m:r>
                              <a:rPr lang="es-ES" sz="7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</a:rPr>
                              <m:t>𝑒</m:t>
                            </m:r>
                          </m:e>
                          <m:sup>
                            <m:r>
                              <a:rPr lang="es-ES" sz="7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indent="198120" algn="just">
                <a:lnSpc>
                  <a:spcPct val="115000"/>
                </a:lnSpc>
                <a:spcAft>
                  <a:spcPts val="0"/>
                </a:spcAft>
              </a:pPr>
              <a:endParaRPr lang="es-ES" sz="700" b="1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indent="198120" algn="just">
                <a:lnSpc>
                  <a:spcPct val="115000"/>
                </a:lnSpc>
                <a:spcAft>
                  <a:spcPts val="0"/>
                </a:spcAft>
              </a:pPr>
              <a:r>
                <a:rPr lang="es-ES" sz="700" b="1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De donde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indent="198120" algn="just">
                <a:lnSpc>
                  <a:spcPct val="115000"/>
                </a:lnSpc>
                <a:spcAft>
                  <a:spcPts val="0"/>
                </a:spcAft>
              </a:pP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n:	Tamaño de la muestra.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1078865" indent="-628650" algn="just">
                <a:lnSpc>
                  <a:spcPct val="115000"/>
                </a:lnSpc>
                <a:spcAft>
                  <a:spcPts val="0"/>
                </a:spcAft>
              </a:pP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Z:</a:t>
              </a:r>
              <a:r>
                <a:rPr lang="es-ES" sz="700" baseline="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             </a:t>
              </a: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margen de seguridad valor de tabla (distribución normal) a un nivel de confianza establecido.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indent="198120" algn="just">
                <a:lnSpc>
                  <a:spcPct val="115000"/>
                </a:lnSpc>
                <a:spcAft>
                  <a:spcPts val="0"/>
                </a:spcAft>
              </a:pP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p:	Probabilidad de ocurrencia con un valor de 50%.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indent="198120" algn="just">
                <a:lnSpc>
                  <a:spcPct val="115000"/>
                </a:lnSpc>
                <a:spcAft>
                  <a:spcPts val="0"/>
                </a:spcAft>
              </a:pP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q:	Probabilidad de no ocurrencia con un valor de 50%.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indent="198120" algn="just">
                <a:lnSpc>
                  <a:spcPct val="115000"/>
                </a:lnSpc>
                <a:spcAft>
                  <a:spcPts val="0"/>
                </a:spcAft>
              </a:pP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e:	Margen de error.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>
                <a:spcAft>
                  <a:spcPts val="0"/>
                </a:spcAft>
              </a:pPr>
              <a:r>
                <a:rPr lang="es-MX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8" name="Rectángulo 7"/>
            <xdr:cNvSpPr/>
          </xdr:nvSpPr>
          <xdr:spPr>
            <a:xfrm>
              <a:off x="6270624" y="1833563"/>
              <a:ext cx="3937002" cy="1579562"/>
            </a:xfrm>
            <a:prstGeom prst="rect">
              <a:avLst/>
            </a:prstGeom>
            <a:solidFill>
              <a:srgbClr val="FFFF00"/>
            </a:solidFill>
            <a:ln w="12700">
              <a:solidFill>
                <a:srgbClr val="FF0000"/>
              </a:solidFill>
            </a:ln>
          </xdr:spPr>
          <xdr:txBody>
            <a:bodyPr wrap="square">
              <a:noAutofit/>
            </a:bodyPr>
            <a:lstStyle>
              <a:defPPr>
                <a:defRPr lang="es-ES"/>
              </a:defPPr>
              <a:lvl1pPr algn="l" defTabSz="457200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1pPr>
              <a:lvl2pPr marL="457200" algn="l" defTabSz="457200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2pPr>
              <a:lvl3pPr marL="914400" algn="l" defTabSz="457200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3pPr>
              <a:lvl4pPr marL="1371600" algn="l" defTabSz="457200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4pPr>
              <a:lvl5pPr marL="1828800" algn="l" defTabSz="457200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itchFamily="34" charset="0"/>
                  <a:ea typeface="ヒラギノ角ゴ Pro W3" pitchFamily="-128" charset="-128"/>
                  <a:cs typeface="+mn-cs"/>
                </a:defRPr>
              </a:lvl9pPr>
            </a:lstStyle>
            <a:p>
              <a:pPr lvl="0" algn="just">
                <a:lnSpc>
                  <a:spcPct val="115000"/>
                </a:lnSpc>
                <a:spcAft>
                  <a:spcPts val="0"/>
                </a:spcAft>
              </a:pP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Poblaciones con tendencia al infinito, son grandes poblaciones generalmente mayores a 100,000 habitantes.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algn="just">
                <a:spcAft>
                  <a:spcPts val="0"/>
                </a:spcAft>
              </a:pP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 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indent="198120" algn="just">
                <a:spcAft>
                  <a:spcPts val="0"/>
                </a:spcAft>
              </a:pPr>
              <a:r>
                <a:rPr lang="es-ES" sz="7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</a:rPr>
                <a:t>𝑛=</a:t>
              </a:r>
              <a:r>
                <a:rPr lang="es-PE" sz="7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</a:rPr>
                <a:t>(</a:t>
              </a:r>
              <a:r>
                <a:rPr lang="es-ES" sz="7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</a:rPr>
                <a:t>𝑧</a:t>
              </a:r>
              <a:r>
                <a:rPr lang="es-PE" sz="7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</a:rPr>
                <a:t>^</a:t>
              </a:r>
              <a:r>
                <a:rPr lang="es-ES" sz="7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</a:rPr>
                <a:t>2.p.q</a:t>
              </a:r>
              <a:r>
                <a:rPr lang="es-PE" sz="7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</a:rPr>
                <a:t>)/</a:t>
              </a:r>
              <a:r>
                <a:rPr lang="es-ES" sz="7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</a:rPr>
                <a:t>𝑒</a:t>
              </a:r>
              <a:r>
                <a:rPr lang="es-PE" sz="7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</a:rPr>
                <a:t>^</a:t>
              </a:r>
              <a:r>
                <a:rPr lang="es-ES" sz="7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</a:rPr>
                <a:t>2 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indent="198120" algn="just">
                <a:lnSpc>
                  <a:spcPct val="115000"/>
                </a:lnSpc>
                <a:spcAft>
                  <a:spcPts val="0"/>
                </a:spcAft>
              </a:pPr>
              <a:endParaRPr lang="es-ES" sz="700" b="1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indent="198120" algn="just">
                <a:lnSpc>
                  <a:spcPct val="115000"/>
                </a:lnSpc>
                <a:spcAft>
                  <a:spcPts val="0"/>
                </a:spcAft>
              </a:pPr>
              <a:r>
                <a:rPr lang="es-ES" sz="700" b="1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De donde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indent="198120" algn="just">
                <a:lnSpc>
                  <a:spcPct val="115000"/>
                </a:lnSpc>
                <a:spcAft>
                  <a:spcPts val="0"/>
                </a:spcAft>
              </a:pP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n:	Tamaño de la muestra.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1078865" indent="-628650" algn="just">
                <a:lnSpc>
                  <a:spcPct val="115000"/>
                </a:lnSpc>
                <a:spcAft>
                  <a:spcPts val="0"/>
                </a:spcAft>
              </a:pP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Z:</a:t>
              </a:r>
              <a:r>
                <a:rPr lang="es-ES" sz="700" baseline="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             </a:t>
              </a: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margen de seguridad valor de tabla (distribución normal) a un nivel de confianza establecido.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indent="198120" algn="just">
                <a:lnSpc>
                  <a:spcPct val="115000"/>
                </a:lnSpc>
                <a:spcAft>
                  <a:spcPts val="0"/>
                </a:spcAft>
              </a:pP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p:	Probabilidad de ocurrencia con un valor de 50%.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indent="198120" algn="just">
                <a:lnSpc>
                  <a:spcPct val="115000"/>
                </a:lnSpc>
                <a:spcAft>
                  <a:spcPts val="0"/>
                </a:spcAft>
              </a:pP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q:	Probabilidad de no ocurrencia con un valor de 50%.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marL="252095" indent="198120" algn="just">
                <a:lnSpc>
                  <a:spcPct val="115000"/>
                </a:lnSpc>
                <a:spcAft>
                  <a:spcPts val="0"/>
                </a:spcAft>
              </a:pPr>
              <a:r>
                <a:rPr lang="es-ES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e:	Margen de error.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>
                <a:spcAft>
                  <a:spcPts val="0"/>
                </a:spcAft>
              </a:pPr>
              <a:r>
                <a:rPr lang="es-MX" sz="70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  <a:endParaRPr lang="es-PE" sz="700">
                <a:solidFill>
                  <a:schemeClr val="tx1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twoCellAnchor>
    <xdr:from>
      <xdr:col>0</xdr:col>
      <xdr:colOff>214312</xdr:colOff>
      <xdr:row>13</xdr:row>
      <xdr:rowOff>230188</xdr:rowOff>
    </xdr:from>
    <xdr:to>
      <xdr:col>1</xdr:col>
      <xdr:colOff>1460500</xdr:colOff>
      <xdr:row>16</xdr:row>
      <xdr:rowOff>70593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Rectángulo 8"/>
            <xdr:cNvSpPr/>
          </xdr:nvSpPr>
          <xdr:spPr>
            <a:xfrm>
              <a:off x="214312" y="2055813"/>
              <a:ext cx="2000251" cy="562718"/>
            </a:xfrm>
            <a:prstGeom prst="rect">
              <a:avLst/>
            </a:prstGeom>
            <a:solidFill>
              <a:srgbClr val="FFFF00"/>
            </a:solidFill>
            <a:ln w="12700">
              <a:solidFill>
                <a:srgbClr val="FF0000"/>
              </a:solidFill>
            </a:ln>
          </xdr:spPr>
          <xdr:txBody>
            <a:bodyPr wrap="square">
              <a:spAutoFit/>
            </a:bodyPr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810260" algn="just">
                <a:spcAft>
                  <a:spcPts val="600"/>
                </a:spcAft>
              </a:pPr>
              <a:r>
                <a:rPr lang="es-ES" sz="1000" b="1">
                  <a:solidFill>
                    <a:srgbClr val="000000"/>
                  </a:solidFill>
                  <a:latin typeface="Arial" panose="020B0604020202020204" pitchFamily="34" charset="0"/>
                  <a:ea typeface="Calibri" panose="020F0502020204030204" pitchFamily="34" charset="0"/>
                </a:rPr>
                <a:t>Fórmula:</a:t>
              </a:r>
              <a:endParaRPr lang="es-PE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indent="180340" algn="just">
                <a:lnSpc>
                  <a:spcPct val="115000"/>
                </a:lnSpc>
                <a:spcAft>
                  <a:spcPts val="30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200" b="0" i="1">
                        <a:solidFill>
                          <a:srgbClr val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𝑃𝑓</m:t>
                    </m:r>
                    <m:r>
                      <a:rPr lang="es-ES" sz="1200" i="1">
                        <a:solidFill>
                          <a:srgbClr val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PE" sz="12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</m:ctrlPr>
                      </m:sSubPr>
                      <m:e>
                        <m:r>
                          <a:rPr lang="es-ES" sz="12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𝑃</m:t>
                        </m:r>
                      </m:e>
                      <m:sub>
                        <m:r>
                          <a:rPr lang="es-ES" sz="12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 </m:t>
                        </m:r>
                        <m:r>
                          <a:rPr lang="es-PE" sz="1200" b="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𝑖</m:t>
                        </m:r>
                      </m:sub>
                    </m:sSub>
                    <m:sSup>
                      <m:sSupPr>
                        <m:ctrlPr>
                          <a:rPr lang="es-PE" sz="120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</m:ctrlPr>
                      </m:sSupPr>
                      <m:e>
                        <m:r>
                          <a:rPr lang="es-PE" sz="1200" b="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∗(1+</m:t>
                        </m:r>
                        <m:sSub>
                          <m:sSubPr>
                            <m:ctrlPr>
                              <a:rPr lang="es-PE" sz="1200" i="1">
                                <a:solidFill>
                                  <a:srgbClr val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</m:ctrlPr>
                          </m:sSubPr>
                          <m:e>
                            <m:r>
                              <a:rPr lang="es-PE" sz="1200" b="0" i="1">
                                <a:solidFill>
                                  <a:srgbClr val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  <m:t>𝑇</m:t>
                            </m:r>
                          </m:e>
                          <m:sub>
                            <m:r>
                              <a:rPr lang="es-PE" sz="1200" b="0" i="1">
                                <a:solidFill>
                                  <a:srgbClr val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libri" panose="020F0502020204030204" pitchFamily="34" charset="0"/>
                              </a:rPr>
                              <m:t>𝐶</m:t>
                            </m:r>
                          </m:sub>
                        </m:sSub>
                        <m:r>
                          <a:rPr lang="es-PE" sz="1200" b="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/100</m:t>
                        </m:r>
                        <m:r>
                          <a:rPr lang="es-ES" sz="1200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)</m:t>
                        </m:r>
                      </m:e>
                      <m:sup>
                        <m:r>
                          <a:rPr lang="es-PE" sz="1200" b="0" i="1">
                            <a:solidFill>
                              <a:srgbClr val="000000"/>
                            </a:solidFill>
                            <a:effectLst/>
                            <a:latin typeface="Cambria Math" panose="02040503050406030204" pitchFamily="18" charset="0"/>
                            <a:ea typeface="Calibri" panose="020F0502020204030204" pitchFamily="34" charset="0"/>
                          </a:rPr>
                          <m:t>𝑛</m:t>
                        </m:r>
                      </m:sup>
                    </m:sSup>
                  </m:oMath>
                </m:oMathPara>
              </a14:m>
              <a:endParaRPr lang="es-PE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mc:Choice>
      <mc:Fallback xmlns="">
        <xdr:sp macro="" textlink="">
          <xdr:nvSpPr>
            <xdr:cNvPr id="9" name="Rectángulo 8"/>
            <xdr:cNvSpPr/>
          </xdr:nvSpPr>
          <xdr:spPr>
            <a:xfrm>
              <a:off x="214312" y="2055813"/>
              <a:ext cx="2000251" cy="562718"/>
            </a:xfrm>
            <a:prstGeom prst="rect">
              <a:avLst/>
            </a:prstGeom>
            <a:solidFill>
              <a:srgbClr val="FFFF00"/>
            </a:solidFill>
            <a:ln w="12700">
              <a:solidFill>
                <a:srgbClr val="FF0000"/>
              </a:solidFill>
            </a:ln>
          </xdr:spPr>
          <xdr:txBody>
            <a:bodyPr wrap="square">
              <a:spAutoFit/>
            </a:bodyPr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810260" algn="just">
                <a:spcAft>
                  <a:spcPts val="600"/>
                </a:spcAft>
              </a:pPr>
              <a:r>
                <a:rPr lang="es-ES" sz="1000" b="1">
                  <a:solidFill>
                    <a:srgbClr val="000000"/>
                  </a:solidFill>
                  <a:latin typeface="Arial" panose="020B0604020202020204" pitchFamily="34" charset="0"/>
                  <a:ea typeface="Calibri" panose="020F0502020204030204" pitchFamily="34" charset="0"/>
                </a:rPr>
                <a:t>Fórmula:</a:t>
              </a:r>
              <a:endParaRPr lang="es-PE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  <a:p>
              <a:pPr indent="180340" algn="just">
                <a:lnSpc>
                  <a:spcPct val="115000"/>
                </a:lnSpc>
                <a:spcAft>
                  <a:spcPts val="300"/>
                </a:spcAft>
              </a:pPr>
              <a:r>
                <a:rPr lang="es-PE" sz="1200" b="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</a:rPr>
                <a:t>𝑃𝑓</a:t>
              </a:r>
              <a:r>
                <a:rPr lang="es-ES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s-ES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𝑃</a:t>
              </a:r>
              <a:r>
                <a:rPr lang="es-PE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_(</a:t>
              </a:r>
              <a:r>
                <a:rPr lang="es-ES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 </a:t>
              </a:r>
              <a:r>
                <a:rPr lang="es-PE" sz="1200" b="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𝑖) </a:t>
              </a:r>
              <a:r>
                <a:rPr lang="es-PE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</a:rPr>
                <a:t>〖</a:t>
              </a:r>
              <a:r>
                <a:rPr lang="es-PE" sz="1200" b="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∗(1+𝑇_𝐶/100</a:t>
              </a:r>
              <a:r>
                <a:rPr lang="es-ES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)</a:t>
              </a:r>
              <a:r>
                <a:rPr lang="es-PE" sz="12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〗^</a:t>
              </a:r>
              <a:r>
                <a:rPr lang="es-PE" sz="1200" b="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libri" panose="020F0502020204030204" pitchFamily="34" charset="0"/>
                </a:rPr>
                <a:t>𝑛</a:t>
              </a:r>
              <a:endParaRPr lang="es-PE" sz="1050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1516063</xdr:colOff>
      <xdr:row>13</xdr:row>
      <xdr:rowOff>349251</xdr:rowOff>
    </xdr:from>
    <xdr:to>
      <xdr:col>1</xdr:col>
      <xdr:colOff>2087563</xdr:colOff>
      <xdr:row>15</xdr:row>
      <xdr:rowOff>79376</xdr:rowOff>
    </xdr:to>
    <xdr:sp macro="" textlink="">
      <xdr:nvSpPr>
        <xdr:cNvPr id="10" name="Flecha derecha 9"/>
        <xdr:cNvSpPr/>
      </xdr:nvSpPr>
      <xdr:spPr>
        <a:xfrm>
          <a:off x="2270126" y="2174876"/>
          <a:ext cx="571500" cy="301625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15876</xdr:colOff>
      <xdr:row>8</xdr:row>
      <xdr:rowOff>87311</xdr:rowOff>
    </xdr:from>
    <xdr:to>
      <xdr:col>5</xdr:col>
      <xdr:colOff>603251</xdr:colOff>
      <xdr:row>10</xdr:row>
      <xdr:rowOff>79374</xdr:rowOff>
    </xdr:to>
    <xdr:cxnSp macro="">
      <xdr:nvCxnSpPr>
        <xdr:cNvPr id="12" name="Conector angular 11"/>
        <xdr:cNvCxnSpPr/>
      </xdr:nvCxnSpPr>
      <xdr:spPr>
        <a:xfrm rot="10800000" flipV="1">
          <a:off x="4286251" y="1142999"/>
          <a:ext cx="2746375" cy="301625"/>
        </a:xfrm>
        <a:prstGeom prst="bentConnector3">
          <a:avLst>
            <a:gd name="adj1" fmla="val 0"/>
          </a:avLst>
        </a:prstGeom>
        <a:ln w="38100">
          <a:solidFill>
            <a:srgbClr val="0070C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103188</xdr:colOff>
      <xdr:row>13</xdr:row>
      <xdr:rowOff>333376</xdr:rowOff>
    </xdr:from>
    <xdr:to>
      <xdr:col>4</xdr:col>
      <xdr:colOff>674688</xdr:colOff>
      <xdr:row>15</xdr:row>
      <xdr:rowOff>63501</xdr:rowOff>
    </xdr:to>
    <xdr:sp macro="" textlink="">
      <xdr:nvSpPr>
        <xdr:cNvPr id="14" name="Flecha derecha 13"/>
        <xdr:cNvSpPr/>
      </xdr:nvSpPr>
      <xdr:spPr>
        <a:xfrm>
          <a:off x="5643563" y="2159001"/>
          <a:ext cx="571500" cy="301625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379941</xdr:colOff>
      <xdr:row>19</xdr:row>
      <xdr:rowOff>143933</xdr:rowOff>
    </xdr:from>
    <xdr:to>
      <xdr:col>13</xdr:col>
      <xdr:colOff>355600</xdr:colOff>
      <xdr:row>34</xdr:row>
      <xdr:rowOff>134408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423333</xdr:colOff>
      <xdr:row>2</xdr:row>
      <xdr:rowOff>486833</xdr:rowOff>
    </xdr:from>
    <xdr:to>
      <xdr:col>7</xdr:col>
      <xdr:colOff>137583</xdr:colOff>
      <xdr:row>6</xdr:row>
      <xdr:rowOff>95250</xdr:rowOff>
    </xdr:to>
    <xdr:sp macro="" textlink="">
      <xdr:nvSpPr>
        <xdr:cNvPr id="4" name="Flecha derecha 3"/>
        <xdr:cNvSpPr/>
      </xdr:nvSpPr>
      <xdr:spPr>
        <a:xfrm>
          <a:off x="6096000" y="804333"/>
          <a:ext cx="666750" cy="635000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233796</xdr:colOff>
      <xdr:row>2</xdr:row>
      <xdr:rowOff>74468</xdr:rowOff>
    </xdr:from>
    <xdr:to>
      <xdr:col>14</xdr:col>
      <xdr:colOff>389659</xdr:colOff>
      <xdr:row>16</xdr:row>
      <xdr:rowOff>20782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92983</xdr:colOff>
      <xdr:row>34</xdr:row>
      <xdr:rowOff>79375</xdr:rowOff>
    </xdr:from>
    <xdr:to>
      <xdr:col>10</xdr:col>
      <xdr:colOff>844550</xdr:colOff>
      <xdr:row>51</xdr:row>
      <xdr:rowOff>56697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17" sqref="A17:B17"/>
    </sheetView>
  </sheetViews>
  <sheetFormatPr baseColWidth="10" defaultRowHeight="15" x14ac:dyDescent="0.25"/>
  <cols>
    <col min="1" max="1" width="32.85546875" bestFit="1" customWidth="1"/>
    <col min="2" max="2" width="17.7109375" bestFit="1" customWidth="1"/>
  </cols>
  <sheetData>
    <row r="1" spans="1:9" x14ac:dyDescent="0.25">
      <c r="A1" t="s">
        <v>368</v>
      </c>
    </row>
    <row r="2" spans="1:9" ht="15.75" thickBot="1" x14ac:dyDescent="0.3"/>
    <row r="3" spans="1:9" x14ac:dyDescent="0.25">
      <c r="A3" s="654" t="s">
        <v>369</v>
      </c>
      <c r="B3" s="654"/>
    </row>
    <row r="4" spans="1:9" x14ac:dyDescent="0.25">
      <c r="A4" s="655" t="s">
        <v>370</v>
      </c>
      <c r="B4" s="655">
        <v>0.99692805315862132</v>
      </c>
    </row>
    <row r="5" spans="1:9" x14ac:dyDescent="0.25">
      <c r="A5" s="651" t="s">
        <v>371</v>
      </c>
      <c r="B5" s="651">
        <v>0.99386554317463893</v>
      </c>
    </row>
    <row r="6" spans="1:9" x14ac:dyDescent="0.25">
      <c r="A6" s="651" t="s">
        <v>372</v>
      </c>
      <c r="B6" s="651">
        <v>0.99182072423285195</v>
      </c>
    </row>
    <row r="7" spans="1:9" x14ac:dyDescent="0.25">
      <c r="A7" s="651" t="s">
        <v>373</v>
      </c>
      <c r="B7" s="651">
        <v>232.31185936150527</v>
      </c>
    </row>
    <row r="8" spans="1:9" ht="15.75" thickBot="1" x14ac:dyDescent="0.3">
      <c r="A8" s="652" t="s">
        <v>374</v>
      </c>
      <c r="B8" s="652">
        <v>5</v>
      </c>
    </row>
    <row r="10" spans="1:9" ht="15.75" thickBot="1" x14ac:dyDescent="0.3">
      <c r="A10" t="s">
        <v>375</v>
      </c>
    </row>
    <row r="11" spans="1:9" x14ac:dyDescent="0.25">
      <c r="A11" s="653"/>
      <c r="B11" s="653" t="s">
        <v>380</v>
      </c>
      <c r="C11" s="653" t="s">
        <v>381</v>
      </c>
      <c r="D11" s="653" t="s">
        <v>382</v>
      </c>
      <c r="E11" s="653" t="s">
        <v>0</v>
      </c>
      <c r="F11" s="653" t="s">
        <v>383</v>
      </c>
    </row>
    <row r="12" spans="1:9" x14ac:dyDescent="0.25">
      <c r="A12" s="651" t="s">
        <v>376</v>
      </c>
      <c r="B12" s="651">
        <v>1</v>
      </c>
      <c r="C12" s="651">
        <v>26231041.600000001</v>
      </c>
      <c r="D12" s="651">
        <v>26231041.600000001</v>
      </c>
      <c r="E12" s="651">
        <v>486.04085323372198</v>
      </c>
      <c r="F12" s="651">
        <v>2.0429332699913096E-4</v>
      </c>
    </row>
    <row r="13" spans="1:9" x14ac:dyDescent="0.25">
      <c r="A13" s="651" t="s">
        <v>377</v>
      </c>
      <c r="B13" s="651">
        <v>3</v>
      </c>
      <c r="C13" s="651">
        <v>161906.39999999941</v>
      </c>
      <c r="D13" s="651">
        <v>53968.799999999806</v>
      </c>
      <c r="E13" s="651"/>
      <c r="F13" s="651"/>
    </row>
    <row r="14" spans="1:9" ht="15.75" thickBot="1" x14ac:dyDescent="0.3">
      <c r="A14" s="652" t="s">
        <v>378</v>
      </c>
      <c r="B14" s="652">
        <v>4</v>
      </c>
      <c r="C14" s="652">
        <v>26392948</v>
      </c>
      <c r="D14" s="652"/>
      <c r="E14" s="652"/>
      <c r="F14" s="652"/>
    </row>
    <row r="15" spans="1:9" ht="15.75" thickBot="1" x14ac:dyDescent="0.3"/>
    <row r="16" spans="1:9" x14ac:dyDescent="0.25">
      <c r="A16" s="653"/>
      <c r="B16" s="653" t="s">
        <v>384</v>
      </c>
      <c r="C16" s="653" t="s">
        <v>373</v>
      </c>
      <c r="D16" s="653" t="s">
        <v>385</v>
      </c>
      <c r="E16" s="653" t="s">
        <v>386</v>
      </c>
      <c r="F16" s="653" t="s">
        <v>387</v>
      </c>
      <c r="G16" s="653" t="s">
        <v>388</v>
      </c>
      <c r="H16" s="653" t="s">
        <v>389</v>
      </c>
      <c r="I16" s="653" t="s">
        <v>390</v>
      </c>
    </row>
    <row r="17" spans="1:9" x14ac:dyDescent="0.25">
      <c r="A17" s="657" t="s">
        <v>379</v>
      </c>
      <c r="B17" s="657">
        <v>-3244083.9999999991</v>
      </c>
      <c r="C17" s="651">
        <v>148028.90897307836</v>
      </c>
      <c r="D17" s="651">
        <v>-21.915205769637822</v>
      </c>
      <c r="E17" s="651">
        <v>2.0796406606666003E-4</v>
      </c>
      <c r="F17" s="651">
        <v>-3715178.0544365509</v>
      </c>
      <c r="G17" s="651">
        <v>-2772989.9455634472</v>
      </c>
      <c r="H17" s="651">
        <v>-3715178.0544365509</v>
      </c>
      <c r="I17" s="651">
        <v>-2772989.9455634472</v>
      </c>
    </row>
    <row r="18" spans="1:9" ht="15.75" thickBot="1" x14ac:dyDescent="0.3">
      <c r="A18" s="656" t="s">
        <v>391</v>
      </c>
      <c r="B18" s="656">
        <v>1619.5999999999995</v>
      </c>
      <c r="C18" s="652">
        <v>73.463460305106651</v>
      </c>
      <c r="D18" s="652">
        <v>22.046334235734559</v>
      </c>
      <c r="E18" s="652">
        <v>2.0429332699913117E-4</v>
      </c>
      <c r="F18" s="652">
        <v>1385.8064821786563</v>
      </c>
      <c r="G18" s="652">
        <v>1853.3935178213426</v>
      </c>
      <c r="H18" s="652">
        <v>1385.8064821786563</v>
      </c>
      <c r="I18" s="652">
        <v>1853.3935178213426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63"/>
  <sheetViews>
    <sheetView showGridLines="0" topLeftCell="A16" zoomScale="91" zoomScaleNormal="91" zoomScaleSheetLayoutView="100" workbookViewId="0">
      <selection activeCell="B48" sqref="B48"/>
    </sheetView>
  </sheetViews>
  <sheetFormatPr baseColWidth="10" defaultColWidth="9.140625" defaultRowHeight="12.75" x14ac:dyDescent="0.2"/>
  <cols>
    <col min="1" max="1" width="35.5703125" style="8" customWidth="1"/>
    <col min="2" max="2" width="14" style="8" bestFit="1" customWidth="1"/>
    <col min="3" max="3" width="10.7109375" style="8" customWidth="1"/>
    <col min="4" max="4" width="10.85546875" style="8" customWidth="1"/>
    <col min="5" max="5" width="12.5703125" style="8" customWidth="1"/>
    <col min="6" max="6" width="11.140625" style="8" customWidth="1"/>
    <col min="7" max="7" width="12" style="8" customWidth="1"/>
    <col min="8" max="8" width="17.5703125" style="8" customWidth="1"/>
    <col min="9" max="9" width="20" style="8" customWidth="1"/>
    <col min="10" max="10" width="13.7109375" style="8" bestFit="1" customWidth="1"/>
    <col min="11" max="11" width="13.7109375" style="8" customWidth="1"/>
    <col min="12" max="13" width="13.7109375" style="8" bestFit="1" customWidth="1"/>
    <col min="14" max="14" width="13.7109375" style="8" customWidth="1"/>
    <col min="15" max="256" width="11.42578125" style="8" customWidth="1"/>
    <col min="257" max="16384" width="9.140625" style="8"/>
  </cols>
  <sheetData>
    <row r="2" spans="1:15" x14ac:dyDescent="0.2">
      <c r="A2" s="736" t="s">
        <v>62</v>
      </c>
      <c r="B2" s="736"/>
    </row>
    <row r="3" spans="1:15" x14ac:dyDescent="0.2">
      <c r="A3" s="3" t="s">
        <v>319</v>
      </c>
      <c r="B3" s="2">
        <v>30</v>
      </c>
    </row>
    <row r="4" spans="1:15" x14ac:dyDescent="0.2">
      <c r="A4" s="3" t="s">
        <v>61</v>
      </c>
      <c r="B4" s="2">
        <v>30</v>
      </c>
    </row>
    <row r="5" spans="1:15" x14ac:dyDescent="0.2">
      <c r="A5" s="3" t="s">
        <v>320</v>
      </c>
      <c r="B5" s="2">
        <v>45</v>
      </c>
    </row>
    <row r="6" spans="1:15" x14ac:dyDescent="0.2">
      <c r="A6" s="3" t="s">
        <v>321</v>
      </c>
      <c r="B6" s="2">
        <f>B3+B4-B5</f>
        <v>15</v>
      </c>
    </row>
    <row r="7" spans="1:15" x14ac:dyDescent="0.2">
      <c r="A7" s="551" t="s">
        <v>60</v>
      </c>
      <c r="B7" s="552">
        <f>B6/360</f>
        <v>4.1666666666666664E-2</v>
      </c>
      <c r="G7" s="456"/>
    </row>
    <row r="8" spans="1:15" x14ac:dyDescent="0.2">
      <c r="A8" s="457"/>
      <c r="B8" s="178"/>
      <c r="C8" s="178"/>
      <c r="D8" s="178"/>
      <c r="E8" s="458"/>
    </row>
    <row r="9" spans="1:15" ht="18" x14ac:dyDescent="0.25">
      <c r="A9" s="459"/>
      <c r="B9" s="459"/>
      <c r="C9" s="162"/>
      <c r="D9" s="162"/>
      <c r="E9" s="459"/>
    </row>
    <row r="10" spans="1:15" x14ac:dyDescent="0.2">
      <c r="A10" s="737" t="s">
        <v>322</v>
      </c>
      <c r="B10" s="737"/>
      <c r="C10" s="162"/>
      <c r="D10" s="162"/>
      <c r="E10" s="162"/>
      <c r="F10" s="11"/>
    </row>
    <row r="11" spans="1:15" ht="25.5" x14ac:dyDescent="0.2">
      <c r="A11" s="499" t="s">
        <v>28</v>
      </c>
      <c r="B11" s="499" t="s">
        <v>37</v>
      </c>
      <c r="C11" s="460"/>
      <c r="D11" s="164"/>
      <c r="F11" s="460"/>
    </row>
    <row r="12" spans="1:15" x14ac:dyDescent="0.2">
      <c r="A12" s="9" t="s">
        <v>323</v>
      </c>
      <c r="B12" s="479">
        <f>SUM(B13:B16)</f>
        <v>160437.5</v>
      </c>
      <c r="C12" s="198"/>
      <c r="D12" s="198"/>
      <c r="F12" s="11"/>
      <c r="H12" s="11"/>
      <c r="I12" s="461"/>
      <c r="J12" s="11"/>
      <c r="K12" s="11"/>
      <c r="L12" s="11"/>
      <c r="M12" s="11"/>
      <c r="N12" s="11"/>
      <c r="O12" s="11"/>
    </row>
    <row r="13" spans="1:15" x14ac:dyDescent="0.2">
      <c r="A13" s="462" t="str">
        <f>+'COST PROD Y MANT'!F59</f>
        <v>1. plantones</v>
      </c>
      <c r="B13" s="478">
        <f>+'COST PROD Y MANT'!G59</f>
        <v>5000</v>
      </c>
      <c r="C13" s="198"/>
      <c r="D13" s="198"/>
      <c r="F13" s="11"/>
      <c r="H13" s="11"/>
      <c r="I13" s="461"/>
      <c r="J13" s="11"/>
      <c r="K13" s="11"/>
      <c r="L13" s="11"/>
      <c r="M13" s="11"/>
      <c r="N13" s="11"/>
      <c r="O13" s="11"/>
    </row>
    <row r="14" spans="1:15" x14ac:dyDescent="0.2">
      <c r="A14" s="462" t="str">
        <f>+'COST PROD Y MANT'!F60</f>
        <v>2. Uso de recurso hídrico.</v>
      </c>
      <c r="B14" s="478">
        <f>+'COST PROD Y MANT'!G60</f>
        <v>2500</v>
      </c>
      <c r="C14" s="198"/>
      <c r="D14" s="198"/>
      <c r="F14" s="11"/>
      <c r="H14" s="11"/>
      <c r="I14" s="461"/>
      <c r="J14" s="11"/>
      <c r="K14" s="11"/>
      <c r="L14" s="11"/>
      <c r="M14" s="11"/>
      <c r="N14" s="11"/>
      <c r="O14" s="11"/>
    </row>
    <row r="15" spans="1:15" x14ac:dyDescent="0.2">
      <c r="A15" s="462" t="str">
        <f>+'COST PROD Y MANT'!F61</f>
        <v>3. Fertilizantes</v>
      </c>
      <c r="B15" s="478">
        <f>+'COST PROD Y MANT'!G61</f>
        <v>127937.5</v>
      </c>
      <c r="C15" s="198"/>
      <c r="D15" s="464"/>
      <c r="F15" s="11"/>
      <c r="G15" s="465"/>
      <c r="H15" s="11"/>
      <c r="I15" s="461"/>
      <c r="J15" s="11"/>
      <c r="K15" s="11"/>
      <c r="L15" s="11"/>
      <c r="M15" s="11"/>
      <c r="N15" s="11"/>
      <c r="O15" s="11"/>
    </row>
    <row r="16" spans="1:15" ht="15" x14ac:dyDescent="0.25">
      <c r="A16" s="462" t="str">
        <f>+'COST PROD Y MANT'!F62</f>
        <v xml:space="preserve">4. Agroquicos </v>
      </c>
      <c r="B16" s="478">
        <f>+'COST PROD Y MANT'!G62</f>
        <v>25000</v>
      </c>
      <c r="C16" s="198"/>
      <c r="D16" s="198"/>
      <c r="F16" s="11"/>
      <c r="G16" s="465"/>
      <c r="H16" s="11"/>
      <c r="I16" s="11"/>
      <c r="J16" s="466"/>
      <c r="K16" s="466"/>
      <c r="L16" s="466"/>
      <c r="M16" s="466"/>
      <c r="N16" s="466"/>
      <c r="O16" s="11"/>
    </row>
    <row r="17" spans="1:15" ht="15" x14ac:dyDescent="0.25">
      <c r="A17" s="9" t="s">
        <v>324</v>
      </c>
      <c r="B17" s="479">
        <f>SUM(B18:B21)</f>
        <v>247160</v>
      </c>
      <c r="C17" s="178"/>
      <c r="D17" s="178"/>
      <c r="F17" s="178"/>
      <c r="G17" s="467"/>
      <c r="H17" s="11"/>
      <c r="I17" s="11"/>
      <c r="J17" s="468"/>
      <c r="K17" s="468"/>
      <c r="L17" s="468"/>
      <c r="M17" s="468"/>
      <c r="N17" s="468"/>
      <c r="O17" s="11"/>
    </row>
    <row r="18" spans="1:15" ht="15" x14ac:dyDescent="0.25">
      <c r="A18" s="462" t="s">
        <v>325</v>
      </c>
      <c r="B18" s="478">
        <f>+'COST PROD Y MANT'!G63</f>
        <v>192500</v>
      </c>
      <c r="C18" s="198"/>
      <c r="D18" s="198"/>
      <c r="F18" s="11"/>
      <c r="G18" s="465"/>
      <c r="H18" s="11"/>
      <c r="I18" s="11"/>
      <c r="J18" s="468"/>
      <c r="K18" s="468"/>
      <c r="L18" s="468"/>
      <c r="M18" s="468"/>
      <c r="N18" s="468"/>
      <c r="O18" s="11"/>
    </row>
    <row r="19" spans="1:15" ht="15" x14ac:dyDescent="0.25">
      <c r="A19" s="462" t="s">
        <v>326</v>
      </c>
      <c r="B19" s="478">
        <f>+'COST PROD Y MANT'!G69</f>
        <v>37500</v>
      </c>
      <c r="C19" s="198"/>
      <c r="D19" s="198"/>
      <c r="F19" s="11"/>
      <c r="G19" s="465"/>
      <c r="H19" s="11"/>
      <c r="I19" s="11"/>
      <c r="J19" s="468"/>
      <c r="K19" s="468"/>
      <c r="L19" s="468"/>
      <c r="M19" s="468"/>
      <c r="N19" s="468"/>
      <c r="O19" s="11"/>
    </row>
    <row r="20" spans="1:15" ht="15" x14ac:dyDescent="0.25">
      <c r="A20" s="462" t="s">
        <v>332</v>
      </c>
      <c r="B20" s="478">
        <f>+'COST PROD Y MANT'!G84</f>
        <v>6000</v>
      </c>
      <c r="C20" s="198"/>
      <c r="D20" s="198"/>
      <c r="F20" s="11"/>
      <c r="H20" s="11"/>
      <c r="I20" s="11"/>
      <c r="J20" s="468"/>
      <c r="K20" s="468"/>
      <c r="L20" s="468"/>
      <c r="M20" s="468"/>
      <c r="N20" s="468"/>
      <c r="O20" s="11"/>
    </row>
    <row r="21" spans="1:15" ht="15" x14ac:dyDescent="0.25">
      <c r="A21" s="462" t="s">
        <v>327</v>
      </c>
      <c r="B21" s="478">
        <f>+'COST PROD Y MANT'!G88</f>
        <v>11160</v>
      </c>
      <c r="C21" s="198"/>
      <c r="D21" s="198"/>
      <c r="F21" s="11"/>
      <c r="H21" s="198"/>
      <c r="I21" s="469"/>
      <c r="J21" s="470"/>
      <c r="K21" s="470"/>
      <c r="L21" s="470"/>
      <c r="M21" s="470"/>
      <c r="N21" s="470"/>
      <c r="O21" s="471"/>
    </row>
    <row r="22" spans="1:15" ht="15" x14ac:dyDescent="0.25">
      <c r="A22" s="472" t="s">
        <v>328</v>
      </c>
      <c r="B22" s="479">
        <f>SUM(B23:B27)</f>
        <v>52680</v>
      </c>
      <c r="C22" s="198"/>
      <c r="D22" s="198"/>
      <c r="F22" s="11"/>
      <c r="H22" s="469"/>
      <c r="I22" s="468"/>
      <c r="J22" s="12"/>
      <c r="K22" s="12"/>
      <c r="L22" s="12"/>
      <c r="M22" s="12"/>
      <c r="N22" s="12"/>
      <c r="O22" s="11"/>
    </row>
    <row r="23" spans="1:15" ht="15" x14ac:dyDescent="0.25">
      <c r="A23" s="462" t="str">
        <f>+'COST PROD Y MANT'!F72</f>
        <v>Fletes internos</v>
      </c>
      <c r="B23" s="478">
        <f>+'COST PROD Y MANT'!G72</f>
        <v>17500</v>
      </c>
      <c r="C23" s="198"/>
      <c r="D23" s="198"/>
      <c r="F23" s="11"/>
      <c r="H23" s="469"/>
      <c r="I23" s="468"/>
      <c r="J23" s="468"/>
      <c r="K23" s="468"/>
      <c r="L23" s="468"/>
      <c r="M23" s="468"/>
      <c r="N23" s="468"/>
      <c r="O23" s="11"/>
    </row>
    <row r="24" spans="1:15" ht="15" x14ac:dyDescent="0.25">
      <c r="A24" s="462" t="str">
        <f>+'COST PROD Y MANT'!B85</f>
        <v>Flete terrestre Cocharcas - Lima</v>
      </c>
      <c r="B24" s="478">
        <f>+'COST PROD Y MANT'!G85</f>
        <v>30000</v>
      </c>
      <c r="C24" s="198"/>
      <c r="D24" s="198"/>
      <c r="F24" s="11"/>
      <c r="H24" s="469"/>
      <c r="I24" s="468"/>
      <c r="J24" s="468"/>
      <c r="K24" s="468"/>
      <c r="L24" s="468"/>
      <c r="M24" s="468"/>
      <c r="N24" s="468"/>
      <c r="O24" s="11"/>
    </row>
    <row r="25" spans="1:15" ht="15" x14ac:dyDescent="0.25">
      <c r="A25" s="462" t="str">
        <f>+'COST PROD Y MANT'!B86</f>
        <v>Alquiler de jabas Cosecheras</v>
      </c>
      <c r="B25" s="478">
        <f>+'COST PROD Y MANT'!G86</f>
        <v>3500</v>
      </c>
      <c r="C25" s="198"/>
      <c r="D25" s="198"/>
      <c r="F25" s="11"/>
      <c r="H25" s="469"/>
      <c r="I25" s="468"/>
      <c r="J25" s="468"/>
      <c r="K25" s="468"/>
      <c r="L25" s="468"/>
      <c r="M25" s="468"/>
      <c r="N25" s="468"/>
      <c r="O25" s="11"/>
    </row>
    <row r="26" spans="1:15" ht="15" x14ac:dyDescent="0.25">
      <c r="A26" s="462" t="str">
        <f>+'COST PROD Y MANT'!B89</f>
        <v>Telefonía</v>
      </c>
      <c r="B26" s="478">
        <f>+'COST PROD Y MANT'!G89</f>
        <v>1080</v>
      </c>
      <c r="C26" s="198"/>
      <c r="D26" s="198"/>
      <c r="F26" s="11"/>
      <c r="H26" s="473"/>
      <c r="I26" s="469"/>
      <c r="J26" s="468"/>
      <c r="K26" s="468"/>
      <c r="L26" s="468"/>
      <c r="M26" s="468"/>
      <c r="N26" s="468"/>
      <c r="O26" s="11"/>
    </row>
    <row r="27" spans="1:15" ht="15" x14ac:dyDescent="0.25">
      <c r="A27" s="462" t="str">
        <f>+'COST PROD Y MANT'!B90</f>
        <v>Útiles de Oficina</v>
      </c>
      <c r="B27" s="478">
        <f>+'COST PROD Y MANT'!G90</f>
        <v>600</v>
      </c>
      <c r="C27" s="198"/>
      <c r="D27" s="198"/>
      <c r="F27" s="11"/>
      <c r="H27" s="473"/>
      <c r="I27" s="469"/>
      <c r="J27" s="468"/>
      <c r="K27" s="468"/>
      <c r="L27" s="468"/>
      <c r="M27" s="468"/>
      <c r="N27" s="468"/>
      <c r="O27" s="11"/>
    </row>
    <row r="28" spans="1:15" x14ac:dyDescent="0.2">
      <c r="A28" s="500" t="s">
        <v>58</v>
      </c>
      <c r="B28" s="501">
        <f>B12+B17+B22</f>
        <v>460277.5</v>
      </c>
      <c r="C28" s="178"/>
      <c r="D28" s="178"/>
      <c r="F28" s="11"/>
      <c r="H28" s="198"/>
      <c r="I28" s="469"/>
    </row>
    <row r="29" spans="1:15" ht="12" customHeight="1" x14ac:dyDescent="0.2">
      <c r="A29" s="457"/>
      <c r="B29" s="11"/>
      <c r="C29" s="11"/>
      <c r="D29" s="11"/>
      <c r="E29" s="11"/>
      <c r="F29" s="11"/>
    </row>
    <row r="30" spans="1:15" x14ac:dyDescent="0.2">
      <c r="A30" s="738" t="s">
        <v>28</v>
      </c>
      <c r="B30" s="740" t="s">
        <v>10</v>
      </c>
      <c r="C30" s="741"/>
      <c r="D30" s="741"/>
      <c r="E30" s="741"/>
      <c r="F30" s="741"/>
      <c r="G30" s="742"/>
    </row>
    <row r="31" spans="1:15" x14ac:dyDescent="0.2">
      <c r="A31" s="739"/>
      <c r="B31" s="91">
        <v>0</v>
      </c>
      <c r="C31" s="91">
        <v>1</v>
      </c>
      <c r="D31" s="91">
        <v>2</v>
      </c>
      <c r="E31" s="91">
        <v>3</v>
      </c>
      <c r="F31" s="91">
        <v>4</v>
      </c>
      <c r="G31" s="91">
        <v>5</v>
      </c>
    </row>
    <row r="32" spans="1:15" x14ac:dyDescent="0.2">
      <c r="A32" s="9" t="s">
        <v>323</v>
      </c>
      <c r="B32" s="474">
        <f t="shared" ref="B32" si="0">SUM(B35:B36)</f>
        <v>6372.3958333333321</v>
      </c>
      <c r="C32" s="474">
        <f>SUM(C33:C36)</f>
        <v>7487.0833333333339</v>
      </c>
      <c r="D32" s="474">
        <f t="shared" ref="D32:G32" si="1">SUM(D33:D36)</f>
        <v>8385.5333333333347</v>
      </c>
      <c r="E32" s="474">
        <f t="shared" si="1"/>
        <v>9391.7973333333357</v>
      </c>
      <c r="F32" s="474">
        <f t="shared" si="1"/>
        <v>10518.813013333336</v>
      </c>
      <c r="G32" s="474">
        <f t="shared" si="1"/>
        <v>11781.070574933339</v>
      </c>
    </row>
    <row r="33" spans="1:7" x14ac:dyDescent="0.2">
      <c r="A33" s="462" t="str">
        <f>+A13</f>
        <v>1. plantones</v>
      </c>
      <c r="B33" s="185">
        <f>+B13*$B$7</f>
        <v>208.33333333333331</v>
      </c>
      <c r="C33" s="185">
        <f>+B33*1.12</f>
        <v>233.33333333333334</v>
      </c>
      <c r="D33" s="185">
        <f t="shared" ref="D33:G33" si="2">+C33*1.12</f>
        <v>261.33333333333337</v>
      </c>
      <c r="E33" s="185">
        <f t="shared" si="2"/>
        <v>292.69333333333338</v>
      </c>
      <c r="F33" s="185">
        <f t="shared" si="2"/>
        <v>327.81653333333344</v>
      </c>
      <c r="G33" s="185">
        <f t="shared" si="2"/>
        <v>367.1545173333335</v>
      </c>
    </row>
    <row r="34" spans="1:7" x14ac:dyDescent="0.2">
      <c r="A34" s="462" t="str">
        <f t="shared" ref="A34:A36" si="3">+A14</f>
        <v>2. Uso de recurso hídrico.</v>
      </c>
      <c r="B34" s="185">
        <f t="shared" ref="B34:B36" si="4">+B14*$B$7</f>
        <v>104.16666666666666</v>
      </c>
      <c r="C34" s="185">
        <f>+B34*1.12</f>
        <v>116.66666666666667</v>
      </c>
      <c r="D34" s="185">
        <f t="shared" ref="D34:G34" si="5">+C34*1.12</f>
        <v>130.66666666666669</v>
      </c>
      <c r="E34" s="185">
        <f t="shared" si="5"/>
        <v>146.34666666666669</v>
      </c>
      <c r="F34" s="185">
        <f t="shared" si="5"/>
        <v>163.90826666666672</v>
      </c>
      <c r="G34" s="185">
        <f t="shared" si="5"/>
        <v>183.57725866666675</v>
      </c>
    </row>
    <row r="35" spans="1:7" x14ac:dyDescent="0.2">
      <c r="A35" s="462" t="str">
        <f t="shared" si="3"/>
        <v>3. Fertilizantes</v>
      </c>
      <c r="B35" s="185">
        <f t="shared" si="4"/>
        <v>5330.7291666666661</v>
      </c>
      <c r="C35" s="185">
        <f>+B35*1.12</f>
        <v>5970.416666666667</v>
      </c>
      <c r="D35" s="185">
        <f t="shared" ref="D35:G35" si="6">+C35*1.12</f>
        <v>6686.8666666666677</v>
      </c>
      <c r="E35" s="185">
        <f t="shared" si="6"/>
        <v>7489.2906666666686</v>
      </c>
      <c r="F35" s="185">
        <f t="shared" si="6"/>
        <v>8388.005546666669</v>
      </c>
      <c r="G35" s="185">
        <f t="shared" si="6"/>
        <v>9394.5662122666708</v>
      </c>
    </row>
    <row r="36" spans="1:7" x14ac:dyDescent="0.2">
      <c r="A36" s="462" t="str">
        <f t="shared" si="3"/>
        <v xml:space="preserve">4. Agroquicos </v>
      </c>
      <c r="B36" s="185">
        <f t="shared" si="4"/>
        <v>1041.6666666666665</v>
      </c>
      <c r="C36" s="185">
        <f>+B36*1.12</f>
        <v>1166.6666666666665</v>
      </c>
      <c r="D36" s="185">
        <f t="shared" ref="D36:G36" si="7">+C36*1.12</f>
        <v>1306.6666666666665</v>
      </c>
      <c r="E36" s="185">
        <f t="shared" si="7"/>
        <v>1463.4666666666667</v>
      </c>
      <c r="F36" s="185">
        <f t="shared" si="7"/>
        <v>1639.0826666666669</v>
      </c>
      <c r="G36" s="185">
        <f t="shared" si="7"/>
        <v>1835.7725866666672</v>
      </c>
    </row>
    <row r="37" spans="1:7" x14ac:dyDescent="0.2">
      <c r="A37" s="9" t="s">
        <v>329</v>
      </c>
      <c r="B37" s="10">
        <f>SUM(B38:B41)</f>
        <v>10298.333333333332</v>
      </c>
      <c r="C37" s="10">
        <f t="shared" ref="C37:G37" si="8">SUM(C38:C41)</f>
        <v>0</v>
      </c>
      <c r="D37" s="10">
        <f t="shared" si="8"/>
        <v>0</v>
      </c>
      <c r="E37" s="10">
        <f t="shared" si="8"/>
        <v>0</v>
      </c>
      <c r="F37" s="10">
        <f t="shared" si="8"/>
        <v>0</v>
      </c>
      <c r="G37" s="10">
        <f t="shared" si="8"/>
        <v>0</v>
      </c>
    </row>
    <row r="38" spans="1:7" x14ac:dyDescent="0.2">
      <c r="A38" s="475" t="str">
        <f>+A18</f>
        <v>Mano de Obra Directa</v>
      </c>
      <c r="B38" s="185">
        <f>+B18*$B$7</f>
        <v>8020.833333333333</v>
      </c>
      <c r="C38" s="463"/>
      <c r="D38" s="463"/>
      <c r="E38" s="463"/>
      <c r="F38" s="463"/>
      <c r="G38" s="462"/>
    </row>
    <row r="39" spans="1:7" x14ac:dyDescent="0.2">
      <c r="A39" s="475" t="str">
        <f t="shared" ref="A39:A41" si="9">+A19</f>
        <v>Mano de Obra Indirecta</v>
      </c>
      <c r="B39" s="185">
        <f>+B19*$B$7</f>
        <v>1562.5</v>
      </c>
      <c r="C39" s="463"/>
      <c r="D39" s="463"/>
      <c r="E39" s="463"/>
      <c r="F39" s="463"/>
      <c r="G39" s="462"/>
    </row>
    <row r="40" spans="1:7" x14ac:dyDescent="0.2">
      <c r="A40" s="475" t="str">
        <f t="shared" si="9"/>
        <v>Mano de Obra Ventas</v>
      </c>
      <c r="B40" s="185">
        <f>+B20*$B$7</f>
        <v>250</v>
      </c>
      <c r="C40" s="463"/>
      <c r="D40" s="463"/>
      <c r="E40" s="463"/>
      <c r="F40" s="463"/>
      <c r="G40" s="462"/>
    </row>
    <row r="41" spans="1:7" x14ac:dyDescent="0.2">
      <c r="A41" s="475" t="str">
        <f t="shared" si="9"/>
        <v>Mano de Obra Administrativa</v>
      </c>
      <c r="B41" s="185">
        <f>+B21*$B$7</f>
        <v>465</v>
      </c>
      <c r="C41" s="463"/>
      <c r="D41" s="463"/>
      <c r="E41" s="463"/>
      <c r="F41" s="463"/>
      <c r="G41" s="462"/>
    </row>
    <row r="42" spans="1:7" x14ac:dyDescent="0.2">
      <c r="A42" s="472" t="s">
        <v>328</v>
      </c>
      <c r="B42" s="10">
        <f t="shared" ref="B42:G42" si="10">SUM(B43:B47)</f>
        <v>2195</v>
      </c>
      <c r="C42" s="10">
        <f t="shared" si="10"/>
        <v>1563.3333333333335</v>
      </c>
      <c r="D42" s="10">
        <f t="shared" si="10"/>
        <v>1750.9333333333338</v>
      </c>
      <c r="E42" s="10">
        <f t="shared" si="10"/>
        <v>1961.0453333333342</v>
      </c>
      <c r="F42" s="10">
        <f t="shared" si="10"/>
        <v>2196.3707733333345</v>
      </c>
      <c r="G42" s="10">
        <f t="shared" si="10"/>
        <v>2459.9352661333346</v>
      </c>
    </row>
    <row r="43" spans="1:7" x14ac:dyDescent="0.2">
      <c r="A43" s="475" t="str">
        <f>+A23</f>
        <v>Fletes internos</v>
      </c>
      <c r="B43" s="185">
        <f>+B23*$B$7</f>
        <v>729.16666666666663</v>
      </c>
      <c r="C43" s="185"/>
      <c r="D43" s="185"/>
      <c r="E43" s="185"/>
      <c r="F43" s="185"/>
      <c r="G43" s="462"/>
    </row>
    <row r="44" spans="1:7" x14ac:dyDescent="0.2">
      <c r="A44" s="475" t="str">
        <f>+A24</f>
        <v>Flete terrestre Cocharcas - Lima</v>
      </c>
      <c r="B44" s="185">
        <f t="shared" ref="B44:B47" si="11">+B24*$B$7</f>
        <v>1250</v>
      </c>
      <c r="C44" s="185">
        <f>B44*1.12</f>
        <v>1400.0000000000002</v>
      </c>
      <c r="D44" s="185">
        <f t="shared" ref="D44:G44" si="12">C44*1.12</f>
        <v>1568.0000000000005</v>
      </c>
      <c r="E44" s="185">
        <f t="shared" si="12"/>
        <v>1756.1600000000008</v>
      </c>
      <c r="F44" s="185">
        <f t="shared" si="12"/>
        <v>1966.899200000001</v>
      </c>
      <c r="G44" s="185">
        <f t="shared" si="12"/>
        <v>2202.9271040000012</v>
      </c>
    </row>
    <row r="45" spans="1:7" x14ac:dyDescent="0.2">
      <c r="A45" s="475" t="str">
        <f>+A25</f>
        <v>Alquiler de jabas Cosecheras</v>
      </c>
      <c r="B45" s="185">
        <f t="shared" si="11"/>
        <v>145.83333333333331</v>
      </c>
      <c r="C45" s="185">
        <f>+B45*1.12</f>
        <v>163.33333333333331</v>
      </c>
      <c r="D45" s="185">
        <f t="shared" ref="D45:G45" si="13">+C45*1.12</f>
        <v>182.93333333333334</v>
      </c>
      <c r="E45" s="185">
        <f t="shared" si="13"/>
        <v>204.88533333333336</v>
      </c>
      <c r="F45" s="185">
        <f t="shared" si="13"/>
        <v>229.4715733333334</v>
      </c>
      <c r="G45" s="185">
        <f t="shared" si="13"/>
        <v>257.00816213333343</v>
      </c>
    </row>
    <row r="46" spans="1:7" x14ac:dyDescent="0.2">
      <c r="A46" s="475" t="str">
        <f>+A26</f>
        <v>Telefonía</v>
      </c>
      <c r="B46" s="185">
        <f t="shared" si="11"/>
        <v>45</v>
      </c>
      <c r="C46" s="185"/>
      <c r="D46" s="185"/>
      <c r="E46" s="185"/>
      <c r="F46" s="185"/>
      <c r="G46" s="462"/>
    </row>
    <row r="47" spans="1:7" x14ac:dyDescent="0.2">
      <c r="A47" s="475" t="str">
        <f>+A27</f>
        <v>Útiles de Oficina</v>
      </c>
      <c r="B47" s="185">
        <f t="shared" si="11"/>
        <v>25</v>
      </c>
      <c r="C47" s="185"/>
      <c r="D47" s="185"/>
      <c r="E47" s="185"/>
      <c r="F47" s="185"/>
      <c r="G47" s="462"/>
    </row>
    <row r="48" spans="1:7" x14ac:dyDescent="0.2">
      <c r="A48" s="9" t="s">
        <v>58</v>
      </c>
      <c r="B48" s="476">
        <f t="shared" ref="B48:G48" si="14">B32+B37+B42</f>
        <v>18865.729166666664</v>
      </c>
      <c r="C48" s="476">
        <f t="shared" si="14"/>
        <v>9050.4166666666679</v>
      </c>
      <c r="D48" s="476">
        <f t="shared" si="14"/>
        <v>10136.466666666669</v>
      </c>
      <c r="E48" s="476">
        <f t="shared" si="14"/>
        <v>11352.842666666669</v>
      </c>
      <c r="F48" s="476">
        <f t="shared" si="14"/>
        <v>12715.18378666667</v>
      </c>
      <c r="G48" s="476">
        <f t="shared" si="14"/>
        <v>14241.005841066673</v>
      </c>
    </row>
    <row r="49" spans="1:7" ht="13.5" thickBot="1" x14ac:dyDescent="0.25">
      <c r="A49" s="11"/>
      <c r="B49" s="11"/>
      <c r="C49" s="11"/>
      <c r="D49" s="11"/>
      <c r="E49" s="11"/>
      <c r="F49" s="11"/>
    </row>
    <row r="50" spans="1:7" ht="30.75" customHeight="1" thickBot="1" x14ac:dyDescent="0.25">
      <c r="A50" s="743" t="s">
        <v>333</v>
      </c>
      <c r="B50" s="744"/>
      <c r="C50" s="744"/>
      <c r="D50" s="744"/>
      <c r="E50" s="744"/>
      <c r="F50" s="744"/>
      <c r="G50" s="745"/>
    </row>
    <row r="51" spans="1:7" x14ac:dyDescent="0.2">
      <c r="A51" s="477"/>
      <c r="B51" s="477"/>
      <c r="C51" s="477"/>
      <c r="D51" s="477"/>
      <c r="E51" s="477"/>
      <c r="F51" s="477"/>
      <c r="G51" s="477"/>
    </row>
    <row r="52" spans="1:7" x14ac:dyDescent="0.2">
      <c r="A52" s="477"/>
      <c r="B52" s="477"/>
      <c r="C52" s="477"/>
      <c r="D52" s="477"/>
      <c r="E52" s="477"/>
      <c r="F52" s="477"/>
      <c r="G52" s="477"/>
    </row>
    <row r="53" spans="1:7" x14ac:dyDescent="0.2">
      <c r="A53" s="11"/>
      <c r="B53" s="11"/>
      <c r="C53" s="11"/>
      <c r="D53" s="11"/>
      <c r="E53" s="11"/>
      <c r="F53" s="11"/>
    </row>
    <row r="54" spans="1:7" x14ac:dyDescent="0.2">
      <c r="A54" s="11"/>
      <c r="B54" s="11"/>
      <c r="C54" s="11"/>
      <c r="D54" s="11"/>
      <c r="E54" s="11"/>
      <c r="F54" s="11"/>
    </row>
    <row r="55" spans="1:7" x14ac:dyDescent="0.2">
      <c r="A55" s="11"/>
      <c r="B55" s="11"/>
      <c r="C55" s="11"/>
      <c r="D55" s="11"/>
      <c r="E55" s="11"/>
      <c r="F55" s="11"/>
    </row>
    <row r="56" spans="1:7" x14ac:dyDescent="0.2">
      <c r="A56" s="11"/>
      <c r="B56" s="11"/>
      <c r="C56" s="11"/>
      <c r="D56" s="11"/>
      <c r="E56" s="11"/>
      <c r="F56" s="11"/>
    </row>
    <row r="57" spans="1:7" x14ac:dyDescent="0.2">
      <c r="A57" s="11"/>
      <c r="B57" s="11"/>
      <c r="C57" s="11"/>
      <c r="D57" s="11"/>
      <c r="E57" s="11"/>
      <c r="F57" s="11"/>
    </row>
    <row r="58" spans="1:7" x14ac:dyDescent="0.2">
      <c r="A58" s="11"/>
      <c r="B58" s="11"/>
      <c r="C58" s="11"/>
      <c r="D58" s="11"/>
      <c r="E58" s="11"/>
      <c r="F58" s="11"/>
    </row>
    <row r="59" spans="1:7" x14ac:dyDescent="0.2">
      <c r="A59" s="11"/>
      <c r="B59" s="11"/>
      <c r="C59" s="11"/>
      <c r="D59" s="11"/>
      <c r="E59" s="11"/>
      <c r="F59" s="11"/>
    </row>
    <row r="60" spans="1:7" x14ac:dyDescent="0.2">
      <c r="A60" s="11"/>
      <c r="B60" s="11"/>
      <c r="C60" s="11"/>
      <c r="D60" s="11"/>
      <c r="E60" s="11"/>
      <c r="F60" s="11"/>
    </row>
    <row r="61" spans="1:7" x14ac:dyDescent="0.2">
      <c r="A61" s="11"/>
      <c r="B61" s="11"/>
      <c r="C61" s="11"/>
      <c r="D61" s="11"/>
      <c r="E61" s="11"/>
      <c r="F61" s="11"/>
    </row>
    <row r="62" spans="1:7" x14ac:dyDescent="0.2">
      <c r="A62" s="11"/>
      <c r="B62" s="11"/>
      <c r="C62" s="11"/>
      <c r="D62" s="11"/>
      <c r="E62" s="11"/>
      <c r="F62" s="11"/>
    </row>
    <row r="63" spans="1:7" x14ac:dyDescent="0.2">
      <c r="A63" s="11"/>
      <c r="B63" s="11"/>
      <c r="C63" s="11"/>
      <c r="D63" s="11"/>
      <c r="E63" s="11"/>
      <c r="F63" s="11"/>
    </row>
  </sheetData>
  <mergeCells count="5">
    <mergeCell ref="A2:B2"/>
    <mergeCell ref="A10:B10"/>
    <mergeCell ref="A30:A31"/>
    <mergeCell ref="B30:G30"/>
    <mergeCell ref="A50:G50"/>
  </mergeCells>
  <pageMargins left="0.28000000000000003" right="0.75" top="0.59" bottom="1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4"/>
  <sheetViews>
    <sheetView zoomScaleNormal="100" zoomScaleSheetLayoutView="100" workbookViewId="0">
      <selection activeCell="B7" sqref="B7:D7"/>
    </sheetView>
  </sheetViews>
  <sheetFormatPr baseColWidth="10" defaultRowHeight="11.25" x14ac:dyDescent="0.25"/>
  <cols>
    <col min="1" max="1" width="5.42578125" style="203" customWidth="1"/>
    <col min="2" max="2" width="12.28515625" style="203" bestFit="1" customWidth="1"/>
    <col min="3" max="4" width="11.28515625" style="203" bestFit="1" customWidth="1"/>
    <col min="5" max="10" width="6.5703125" style="203" customWidth="1"/>
    <col min="11" max="11" width="10.28515625" style="203" bestFit="1" customWidth="1"/>
    <col min="12" max="13" width="11.28515625" style="203" bestFit="1" customWidth="1"/>
    <col min="14" max="14" width="12.28515625" style="203" bestFit="1" customWidth="1"/>
    <col min="15" max="15" width="5.28515625" style="203" customWidth="1"/>
    <col min="16" max="16" width="21.7109375" style="203" customWidth="1"/>
    <col min="17" max="21" width="17.5703125" style="203" bestFit="1" customWidth="1"/>
    <col min="22" max="255" width="11.42578125" style="203"/>
    <col min="256" max="256" width="5.42578125" style="203" customWidth="1"/>
    <col min="257" max="265" width="6.5703125" style="203" customWidth="1"/>
    <col min="266" max="267" width="7.5703125" style="203" bestFit="1" customWidth="1"/>
    <col min="268" max="268" width="6.5703125" style="203" customWidth="1"/>
    <col min="269" max="269" width="11.42578125" style="203"/>
    <col min="270" max="270" width="5.28515625" style="203" customWidth="1"/>
    <col min="271" max="271" width="6.85546875" style="203" customWidth="1"/>
    <col min="272" max="273" width="12.28515625" style="203" customWidth="1"/>
    <col min="274" max="274" width="14.42578125" style="203" customWidth="1"/>
    <col min="275" max="275" width="12.7109375" style="203" bestFit="1" customWidth="1"/>
    <col min="276" max="276" width="11.42578125" style="203"/>
    <col min="277" max="277" width="12.7109375" style="203" bestFit="1" customWidth="1"/>
    <col min="278" max="511" width="11.42578125" style="203"/>
    <col min="512" max="512" width="5.42578125" style="203" customWidth="1"/>
    <col min="513" max="521" width="6.5703125" style="203" customWidth="1"/>
    <col min="522" max="523" width="7.5703125" style="203" bestFit="1" customWidth="1"/>
    <col min="524" max="524" width="6.5703125" style="203" customWidth="1"/>
    <col min="525" max="525" width="11.42578125" style="203"/>
    <col min="526" max="526" width="5.28515625" style="203" customWidth="1"/>
    <col min="527" max="527" width="6.85546875" style="203" customWidth="1"/>
    <col min="528" max="529" width="12.28515625" style="203" customWidth="1"/>
    <col min="530" max="530" width="14.42578125" style="203" customWidth="1"/>
    <col min="531" max="531" width="12.7109375" style="203" bestFit="1" customWidth="1"/>
    <col min="532" max="532" width="11.42578125" style="203"/>
    <col min="533" max="533" width="12.7109375" style="203" bestFit="1" customWidth="1"/>
    <col min="534" max="767" width="11.42578125" style="203"/>
    <col min="768" max="768" width="5.42578125" style="203" customWidth="1"/>
    <col min="769" max="777" width="6.5703125" style="203" customWidth="1"/>
    <col min="778" max="779" width="7.5703125" style="203" bestFit="1" customWidth="1"/>
    <col min="780" max="780" width="6.5703125" style="203" customWidth="1"/>
    <col min="781" max="781" width="11.42578125" style="203"/>
    <col min="782" max="782" width="5.28515625" style="203" customWidth="1"/>
    <col min="783" max="783" width="6.85546875" style="203" customWidth="1"/>
    <col min="784" max="785" width="12.28515625" style="203" customWidth="1"/>
    <col min="786" max="786" width="14.42578125" style="203" customWidth="1"/>
    <col min="787" max="787" width="12.7109375" style="203" bestFit="1" customWidth="1"/>
    <col min="788" max="788" width="11.42578125" style="203"/>
    <col min="789" max="789" width="12.7109375" style="203" bestFit="1" customWidth="1"/>
    <col min="790" max="1023" width="11.42578125" style="203"/>
    <col min="1024" max="1024" width="5.42578125" style="203" customWidth="1"/>
    <col min="1025" max="1033" width="6.5703125" style="203" customWidth="1"/>
    <col min="1034" max="1035" width="7.5703125" style="203" bestFit="1" customWidth="1"/>
    <col min="1036" max="1036" width="6.5703125" style="203" customWidth="1"/>
    <col min="1037" max="1037" width="11.42578125" style="203"/>
    <col min="1038" max="1038" width="5.28515625" style="203" customWidth="1"/>
    <col min="1039" max="1039" width="6.85546875" style="203" customWidth="1"/>
    <col min="1040" max="1041" width="12.28515625" style="203" customWidth="1"/>
    <col min="1042" max="1042" width="14.42578125" style="203" customWidth="1"/>
    <col min="1043" max="1043" width="12.7109375" style="203" bestFit="1" customWidth="1"/>
    <col min="1044" max="1044" width="11.42578125" style="203"/>
    <col min="1045" max="1045" width="12.7109375" style="203" bestFit="1" customWidth="1"/>
    <col min="1046" max="1279" width="11.42578125" style="203"/>
    <col min="1280" max="1280" width="5.42578125" style="203" customWidth="1"/>
    <col min="1281" max="1289" width="6.5703125" style="203" customWidth="1"/>
    <col min="1290" max="1291" width="7.5703125" style="203" bestFit="1" customWidth="1"/>
    <col min="1292" max="1292" width="6.5703125" style="203" customWidth="1"/>
    <col min="1293" max="1293" width="11.42578125" style="203"/>
    <col min="1294" max="1294" width="5.28515625" style="203" customWidth="1"/>
    <col min="1295" max="1295" width="6.85546875" style="203" customWidth="1"/>
    <col min="1296" max="1297" width="12.28515625" style="203" customWidth="1"/>
    <col min="1298" max="1298" width="14.42578125" style="203" customWidth="1"/>
    <col min="1299" max="1299" width="12.7109375" style="203" bestFit="1" customWidth="1"/>
    <col min="1300" max="1300" width="11.42578125" style="203"/>
    <col min="1301" max="1301" width="12.7109375" style="203" bestFit="1" customWidth="1"/>
    <col min="1302" max="1535" width="11.42578125" style="203"/>
    <col min="1536" max="1536" width="5.42578125" style="203" customWidth="1"/>
    <col min="1537" max="1545" width="6.5703125" style="203" customWidth="1"/>
    <col min="1546" max="1547" width="7.5703125" style="203" bestFit="1" customWidth="1"/>
    <col min="1548" max="1548" width="6.5703125" style="203" customWidth="1"/>
    <col min="1549" max="1549" width="11.42578125" style="203"/>
    <col min="1550" max="1550" width="5.28515625" style="203" customWidth="1"/>
    <col min="1551" max="1551" width="6.85546875" style="203" customWidth="1"/>
    <col min="1552" max="1553" width="12.28515625" style="203" customWidth="1"/>
    <col min="1554" max="1554" width="14.42578125" style="203" customWidth="1"/>
    <col min="1555" max="1555" width="12.7109375" style="203" bestFit="1" customWidth="1"/>
    <col min="1556" max="1556" width="11.42578125" style="203"/>
    <col min="1557" max="1557" width="12.7109375" style="203" bestFit="1" customWidth="1"/>
    <col min="1558" max="1791" width="11.42578125" style="203"/>
    <col min="1792" max="1792" width="5.42578125" style="203" customWidth="1"/>
    <col min="1793" max="1801" width="6.5703125" style="203" customWidth="1"/>
    <col min="1802" max="1803" width="7.5703125" style="203" bestFit="1" customWidth="1"/>
    <col min="1804" max="1804" width="6.5703125" style="203" customWidth="1"/>
    <col min="1805" max="1805" width="11.42578125" style="203"/>
    <col min="1806" max="1806" width="5.28515625" style="203" customWidth="1"/>
    <col min="1807" max="1807" width="6.85546875" style="203" customWidth="1"/>
    <col min="1808" max="1809" width="12.28515625" style="203" customWidth="1"/>
    <col min="1810" max="1810" width="14.42578125" style="203" customWidth="1"/>
    <col min="1811" max="1811" width="12.7109375" style="203" bestFit="1" customWidth="1"/>
    <col min="1812" max="1812" width="11.42578125" style="203"/>
    <col min="1813" max="1813" width="12.7109375" style="203" bestFit="1" customWidth="1"/>
    <col min="1814" max="2047" width="11.42578125" style="203"/>
    <col min="2048" max="2048" width="5.42578125" style="203" customWidth="1"/>
    <col min="2049" max="2057" width="6.5703125" style="203" customWidth="1"/>
    <col min="2058" max="2059" width="7.5703125" style="203" bestFit="1" customWidth="1"/>
    <col min="2060" max="2060" width="6.5703125" style="203" customWidth="1"/>
    <col min="2061" max="2061" width="11.42578125" style="203"/>
    <col min="2062" max="2062" width="5.28515625" style="203" customWidth="1"/>
    <col min="2063" max="2063" width="6.85546875" style="203" customWidth="1"/>
    <col min="2064" max="2065" width="12.28515625" style="203" customWidth="1"/>
    <col min="2066" max="2066" width="14.42578125" style="203" customWidth="1"/>
    <col min="2067" max="2067" width="12.7109375" style="203" bestFit="1" customWidth="1"/>
    <col min="2068" max="2068" width="11.42578125" style="203"/>
    <col min="2069" max="2069" width="12.7109375" style="203" bestFit="1" customWidth="1"/>
    <col min="2070" max="2303" width="11.42578125" style="203"/>
    <col min="2304" max="2304" width="5.42578125" style="203" customWidth="1"/>
    <col min="2305" max="2313" width="6.5703125" style="203" customWidth="1"/>
    <col min="2314" max="2315" width="7.5703125" style="203" bestFit="1" customWidth="1"/>
    <col min="2316" max="2316" width="6.5703125" style="203" customWidth="1"/>
    <col min="2317" max="2317" width="11.42578125" style="203"/>
    <col min="2318" max="2318" width="5.28515625" style="203" customWidth="1"/>
    <col min="2319" max="2319" width="6.85546875" style="203" customWidth="1"/>
    <col min="2320" max="2321" width="12.28515625" style="203" customWidth="1"/>
    <col min="2322" max="2322" width="14.42578125" style="203" customWidth="1"/>
    <col min="2323" max="2323" width="12.7109375" style="203" bestFit="1" customWidth="1"/>
    <col min="2324" max="2324" width="11.42578125" style="203"/>
    <col min="2325" max="2325" width="12.7109375" style="203" bestFit="1" customWidth="1"/>
    <col min="2326" max="2559" width="11.42578125" style="203"/>
    <col min="2560" max="2560" width="5.42578125" style="203" customWidth="1"/>
    <col min="2561" max="2569" width="6.5703125" style="203" customWidth="1"/>
    <col min="2570" max="2571" width="7.5703125" style="203" bestFit="1" customWidth="1"/>
    <col min="2572" max="2572" width="6.5703125" style="203" customWidth="1"/>
    <col min="2573" max="2573" width="11.42578125" style="203"/>
    <col min="2574" max="2574" width="5.28515625" style="203" customWidth="1"/>
    <col min="2575" max="2575" width="6.85546875" style="203" customWidth="1"/>
    <col min="2576" max="2577" width="12.28515625" style="203" customWidth="1"/>
    <col min="2578" max="2578" width="14.42578125" style="203" customWidth="1"/>
    <col min="2579" max="2579" width="12.7109375" style="203" bestFit="1" customWidth="1"/>
    <col min="2580" max="2580" width="11.42578125" style="203"/>
    <col min="2581" max="2581" width="12.7109375" style="203" bestFit="1" customWidth="1"/>
    <col min="2582" max="2815" width="11.42578125" style="203"/>
    <col min="2816" max="2816" width="5.42578125" style="203" customWidth="1"/>
    <col min="2817" max="2825" width="6.5703125" style="203" customWidth="1"/>
    <col min="2826" max="2827" width="7.5703125" style="203" bestFit="1" customWidth="1"/>
    <col min="2828" max="2828" width="6.5703125" style="203" customWidth="1"/>
    <col min="2829" max="2829" width="11.42578125" style="203"/>
    <col min="2830" max="2830" width="5.28515625" style="203" customWidth="1"/>
    <col min="2831" max="2831" width="6.85546875" style="203" customWidth="1"/>
    <col min="2832" max="2833" width="12.28515625" style="203" customWidth="1"/>
    <col min="2834" max="2834" width="14.42578125" style="203" customWidth="1"/>
    <col min="2835" max="2835" width="12.7109375" style="203" bestFit="1" customWidth="1"/>
    <col min="2836" max="2836" width="11.42578125" style="203"/>
    <col min="2837" max="2837" width="12.7109375" style="203" bestFit="1" customWidth="1"/>
    <col min="2838" max="3071" width="11.42578125" style="203"/>
    <col min="3072" max="3072" width="5.42578125" style="203" customWidth="1"/>
    <col min="3073" max="3081" width="6.5703125" style="203" customWidth="1"/>
    <col min="3082" max="3083" width="7.5703125" style="203" bestFit="1" customWidth="1"/>
    <col min="3084" max="3084" width="6.5703125" style="203" customWidth="1"/>
    <col min="3085" max="3085" width="11.42578125" style="203"/>
    <col min="3086" max="3086" width="5.28515625" style="203" customWidth="1"/>
    <col min="3087" max="3087" width="6.85546875" style="203" customWidth="1"/>
    <col min="3088" max="3089" width="12.28515625" style="203" customWidth="1"/>
    <col min="3090" max="3090" width="14.42578125" style="203" customWidth="1"/>
    <col min="3091" max="3091" width="12.7109375" style="203" bestFit="1" customWidth="1"/>
    <col min="3092" max="3092" width="11.42578125" style="203"/>
    <col min="3093" max="3093" width="12.7109375" style="203" bestFit="1" customWidth="1"/>
    <col min="3094" max="3327" width="11.42578125" style="203"/>
    <col min="3328" max="3328" width="5.42578125" style="203" customWidth="1"/>
    <col min="3329" max="3337" width="6.5703125" style="203" customWidth="1"/>
    <col min="3338" max="3339" width="7.5703125" style="203" bestFit="1" customWidth="1"/>
    <col min="3340" max="3340" width="6.5703125" style="203" customWidth="1"/>
    <col min="3341" max="3341" width="11.42578125" style="203"/>
    <col min="3342" max="3342" width="5.28515625" style="203" customWidth="1"/>
    <col min="3343" max="3343" width="6.85546875" style="203" customWidth="1"/>
    <col min="3344" max="3345" width="12.28515625" style="203" customWidth="1"/>
    <col min="3346" max="3346" width="14.42578125" style="203" customWidth="1"/>
    <col min="3347" max="3347" width="12.7109375" style="203" bestFit="1" customWidth="1"/>
    <col min="3348" max="3348" width="11.42578125" style="203"/>
    <col min="3349" max="3349" width="12.7109375" style="203" bestFit="1" customWidth="1"/>
    <col min="3350" max="3583" width="11.42578125" style="203"/>
    <col min="3584" max="3584" width="5.42578125" style="203" customWidth="1"/>
    <col min="3585" max="3593" width="6.5703125" style="203" customWidth="1"/>
    <col min="3594" max="3595" width="7.5703125" style="203" bestFit="1" customWidth="1"/>
    <col min="3596" max="3596" width="6.5703125" style="203" customWidth="1"/>
    <col min="3597" max="3597" width="11.42578125" style="203"/>
    <col min="3598" max="3598" width="5.28515625" style="203" customWidth="1"/>
    <col min="3599" max="3599" width="6.85546875" style="203" customWidth="1"/>
    <col min="3600" max="3601" width="12.28515625" style="203" customWidth="1"/>
    <col min="3602" max="3602" width="14.42578125" style="203" customWidth="1"/>
    <col min="3603" max="3603" width="12.7109375" style="203" bestFit="1" customWidth="1"/>
    <col min="3604" max="3604" width="11.42578125" style="203"/>
    <col min="3605" max="3605" width="12.7109375" style="203" bestFit="1" customWidth="1"/>
    <col min="3606" max="3839" width="11.42578125" style="203"/>
    <col min="3840" max="3840" width="5.42578125" style="203" customWidth="1"/>
    <col min="3841" max="3849" width="6.5703125" style="203" customWidth="1"/>
    <col min="3850" max="3851" width="7.5703125" style="203" bestFit="1" customWidth="1"/>
    <col min="3852" max="3852" width="6.5703125" style="203" customWidth="1"/>
    <col min="3853" max="3853" width="11.42578125" style="203"/>
    <col min="3854" max="3854" width="5.28515625" style="203" customWidth="1"/>
    <col min="3855" max="3855" width="6.85546875" style="203" customWidth="1"/>
    <col min="3856" max="3857" width="12.28515625" style="203" customWidth="1"/>
    <col min="3858" max="3858" width="14.42578125" style="203" customWidth="1"/>
    <col min="3859" max="3859" width="12.7109375" style="203" bestFit="1" customWidth="1"/>
    <col min="3860" max="3860" width="11.42578125" style="203"/>
    <col min="3861" max="3861" width="12.7109375" style="203" bestFit="1" customWidth="1"/>
    <col min="3862" max="4095" width="11.42578125" style="203"/>
    <col min="4096" max="4096" width="5.42578125" style="203" customWidth="1"/>
    <col min="4097" max="4105" width="6.5703125" style="203" customWidth="1"/>
    <col min="4106" max="4107" width="7.5703125" style="203" bestFit="1" customWidth="1"/>
    <col min="4108" max="4108" width="6.5703125" style="203" customWidth="1"/>
    <col min="4109" max="4109" width="11.42578125" style="203"/>
    <col min="4110" max="4110" width="5.28515625" style="203" customWidth="1"/>
    <col min="4111" max="4111" width="6.85546875" style="203" customWidth="1"/>
    <col min="4112" max="4113" width="12.28515625" style="203" customWidth="1"/>
    <col min="4114" max="4114" width="14.42578125" style="203" customWidth="1"/>
    <col min="4115" max="4115" width="12.7109375" style="203" bestFit="1" customWidth="1"/>
    <col min="4116" max="4116" width="11.42578125" style="203"/>
    <col min="4117" max="4117" width="12.7109375" style="203" bestFit="1" customWidth="1"/>
    <col min="4118" max="4351" width="11.42578125" style="203"/>
    <col min="4352" max="4352" width="5.42578125" style="203" customWidth="1"/>
    <col min="4353" max="4361" width="6.5703125" style="203" customWidth="1"/>
    <col min="4362" max="4363" width="7.5703125" style="203" bestFit="1" customWidth="1"/>
    <col min="4364" max="4364" width="6.5703125" style="203" customWidth="1"/>
    <col min="4365" max="4365" width="11.42578125" style="203"/>
    <col min="4366" max="4366" width="5.28515625" style="203" customWidth="1"/>
    <col min="4367" max="4367" width="6.85546875" style="203" customWidth="1"/>
    <col min="4368" max="4369" width="12.28515625" style="203" customWidth="1"/>
    <col min="4370" max="4370" width="14.42578125" style="203" customWidth="1"/>
    <col min="4371" max="4371" width="12.7109375" style="203" bestFit="1" customWidth="1"/>
    <col min="4372" max="4372" width="11.42578125" style="203"/>
    <col min="4373" max="4373" width="12.7109375" style="203" bestFit="1" customWidth="1"/>
    <col min="4374" max="4607" width="11.42578125" style="203"/>
    <col min="4608" max="4608" width="5.42578125" style="203" customWidth="1"/>
    <col min="4609" max="4617" width="6.5703125" style="203" customWidth="1"/>
    <col min="4618" max="4619" width="7.5703125" style="203" bestFit="1" customWidth="1"/>
    <col min="4620" max="4620" width="6.5703125" style="203" customWidth="1"/>
    <col min="4621" max="4621" width="11.42578125" style="203"/>
    <col min="4622" max="4622" width="5.28515625" style="203" customWidth="1"/>
    <col min="4623" max="4623" width="6.85546875" style="203" customWidth="1"/>
    <col min="4624" max="4625" width="12.28515625" style="203" customWidth="1"/>
    <col min="4626" max="4626" width="14.42578125" style="203" customWidth="1"/>
    <col min="4627" max="4627" width="12.7109375" style="203" bestFit="1" customWidth="1"/>
    <col min="4628" max="4628" width="11.42578125" style="203"/>
    <col min="4629" max="4629" width="12.7109375" style="203" bestFit="1" customWidth="1"/>
    <col min="4630" max="4863" width="11.42578125" style="203"/>
    <col min="4864" max="4864" width="5.42578125" style="203" customWidth="1"/>
    <col min="4865" max="4873" width="6.5703125" style="203" customWidth="1"/>
    <col min="4874" max="4875" width="7.5703125" style="203" bestFit="1" customWidth="1"/>
    <col min="4876" max="4876" width="6.5703125" style="203" customWidth="1"/>
    <col min="4877" max="4877" width="11.42578125" style="203"/>
    <col min="4878" max="4878" width="5.28515625" style="203" customWidth="1"/>
    <col min="4879" max="4879" width="6.85546875" style="203" customWidth="1"/>
    <col min="4880" max="4881" width="12.28515625" style="203" customWidth="1"/>
    <col min="4882" max="4882" width="14.42578125" style="203" customWidth="1"/>
    <col min="4883" max="4883" width="12.7109375" style="203" bestFit="1" customWidth="1"/>
    <col min="4884" max="4884" width="11.42578125" style="203"/>
    <col min="4885" max="4885" width="12.7109375" style="203" bestFit="1" customWidth="1"/>
    <col min="4886" max="5119" width="11.42578125" style="203"/>
    <col min="5120" max="5120" width="5.42578125" style="203" customWidth="1"/>
    <col min="5121" max="5129" width="6.5703125" style="203" customWidth="1"/>
    <col min="5130" max="5131" width="7.5703125" style="203" bestFit="1" customWidth="1"/>
    <col min="5132" max="5132" width="6.5703125" style="203" customWidth="1"/>
    <col min="5133" max="5133" width="11.42578125" style="203"/>
    <col min="5134" max="5134" width="5.28515625" style="203" customWidth="1"/>
    <col min="5135" max="5135" width="6.85546875" style="203" customWidth="1"/>
    <col min="5136" max="5137" width="12.28515625" style="203" customWidth="1"/>
    <col min="5138" max="5138" width="14.42578125" style="203" customWidth="1"/>
    <col min="5139" max="5139" width="12.7109375" style="203" bestFit="1" customWidth="1"/>
    <col min="5140" max="5140" width="11.42578125" style="203"/>
    <col min="5141" max="5141" width="12.7109375" style="203" bestFit="1" customWidth="1"/>
    <col min="5142" max="5375" width="11.42578125" style="203"/>
    <col min="5376" max="5376" width="5.42578125" style="203" customWidth="1"/>
    <col min="5377" max="5385" width="6.5703125" style="203" customWidth="1"/>
    <col min="5386" max="5387" width="7.5703125" style="203" bestFit="1" customWidth="1"/>
    <col min="5388" max="5388" width="6.5703125" style="203" customWidth="1"/>
    <col min="5389" max="5389" width="11.42578125" style="203"/>
    <col min="5390" max="5390" width="5.28515625" style="203" customWidth="1"/>
    <col min="5391" max="5391" width="6.85546875" style="203" customWidth="1"/>
    <col min="5392" max="5393" width="12.28515625" style="203" customWidth="1"/>
    <col min="5394" max="5394" width="14.42578125" style="203" customWidth="1"/>
    <col min="5395" max="5395" width="12.7109375" style="203" bestFit="1" customWidth="1"/>
    <col min="5396" max="5396" width="11.42578125" style="203"/>
    <col min="5397" max="5397" width="12.7109375" style="203" bestFit="1" customWidth="1"/>
    <col min="5398" max="5631" width="11.42578125" style="203"/>
    <col min="5632" max="5632" width="5.42578125" style="203" customWidth="1"/>
    <col min="5633" max="5641" width="6.5703125" style="203" customWidth="1"/>
    <col min="5642" max="5643" width="7.5703125" style="203" bestFit="1" customWidth="1"/>
    <col min="5644" max="5644" width="6.5703125" style="203" customWidth="1"/>
    <col min="5645" max="5645" width="11.42578125" style="203"/>
    <col min="5646" max="5646" width="5.28515625" style="203" customWidth="1"/>
    <col min="5647" max="5647" width="6.85546875" style="203" customWidth="1"/>
    <col min="5648" max="5649" width="12.28515625" style="203" customWidth="1"/>
    <col min="5650" max="5650" width="14.42578125" style="203" customWidth="1"/>
    <col min="5651" max="5651" width="12.7109375" style="203" bestFit="1" customWidth="1"/>
    <col min="5652" max="5652" width="11.42578125" style="203"/>
    <col min="5653" max="5653" width="12.7109375" style="203" bestFit="1" customWidth="1"/>
    <col min="5654" max="5887" width="11.42578125" style="203"/>
    <col min="5888" max="5888" width="5.42578125" style="203" customWidth="1"/>
    <col min="5889" max="5897" width="6.5703125" style="203" customWidth="1"/>
    <col min="5898" max="5899" width="7.5703125" style="203" bestFit="1" customWidth="1"/>
    <col min="5900" max="5900" width="6.5703125" style="203" customWidth="1"/>
    <col min="5901" max="5901" width="11.42578125" style="203"/>
    <col min="5902" max="5902" width="5.28515625" style="203" customWidth="1"/>
    <col min="5903" max="5903" width="6.85546875" style="203" customWidth="1"/>
    <col min="5904" max="5905" width="12.28515625" style="203" customWidth="1"/>
    <col min="5906" max="5906" width="14.42578125" style="203" customWidth="1"/>
    <col min="5907" max="5907" width="12.7109375" style="203" bestFit="1" customWidth="1"/>
    <col min="5908" max="5908" width="11.42578125" style="203"/>
    <col min="5909" max="5909" width="12.7109375" style="203" bestFit="1" customWidth="1"/>
    <col min="5910" max="6143" width="11.42578125" style="203"/>
    <col min="6144" max="6144" width="5.42578125" style="203" customWidth="1"/>
    <col min="6145" max="6153" width="6.5703125" style="203" customWidth="1"/>
    <col min="6154" max="6155" width="7.5703125" style="203" bestFit="1" customWidth="1"/>
    <col min="6156" max="6156" width="6.5703125" style="203" customWidth="1"/>
    <col min="6157" max="6157" width="11.42578125" style="203"/>
    <col min="6158" max="6158" width="5.28515625" style="203" customWidth="1"/>
    <col min="6159" max="6159" width="6.85546875" style="203" customWidth="1"/>
    <col min="6160" max="6161" width="12.28515625" style="203" customWidth="1"/>
    <col min="6162" max="6162" width="14.42578125" style="203" customWidth="1"/>
    <col min="6163" max="6163" width="12.7109375" style="203" bestFit="1" customWidth="1"/>
    <col min="6164" max="6164" width="11.42578125" style="203"/>
    <col min="6165" max="6165" width="12.7109375" style="203" bestFit="1" customWidth="1"/>
    <col min="6166" max="6399" width="11.42578125" style="203"/>
    <col min="6400" max="6400" width="5.42578125" style="203" customWidth="1"/>
    <col min="6401" max="6409" width="6.5703125" style="203" customWidth="1"/>
    <col min="6410" max="6411" width="7.5703125" style="203" bestFit="1" customWidth="1"/>
    <col min="6412" max="6412" width="6.5703125" style="203" customWidth="1"/>
    <col min="6413" max="6413" width="11.42578125" style="203"/>
    <col min="6414" max="6414" width="5.28515625" style="203" customWidth="1"/>
    <col min="6415" max="6415" width="6.85546875" style="203" customWidth="1"/>
    <col min="6416" max="6417" width="12.28515625" style="203" customWidth="1"/>
    <col min="6418" max="6418" width="14.42578125" style="203" customWidth="1"/>
    <col min="6419" max="6419" width="12.7109375" style="203" bestFit="1" customWidth="1"/>
    <col min="6420" max="6420" width="11.42578125" style="203"/>
    <col min="6421" max="6421" width="12.7109375" style="203" bestFit="1" customWidth="1"/>
    <col min="6422" max="6655" width="11.42578125" style="203"/>
    <col min="6656" max="6656" width="5.42578125" style="203" customWidth="1"/>
    <col min="6657" max="6665" width="6.5703125" style="203" customWidth="1"/>
    <col min="6666" max="6667" width="7.5703125" style="203" bestFit="1" customWidth="1"/>
    <col min="6668" max="6668" width="6.5703125" style="203" customWidth="1"/>
    <col min="6669" max="6669" width="11.42578125" style="203"/>
    <col min="6670" max="6670" width="5.28515625" style="203" customWidth="1"/>
    <col min="6671" max="6671" width="6.85546875" style="203" customWidth="1"/>
    <col min="6672" max="6673" width="12.28515625" style="203" customWidth="1"/>
    <col min="6674" max="6674" width="14.42578125" style="203" customWidth="1"/>
    <col min="6675" max="6675" width="12.7109375" style="203" bestFit="1" customWidth="1"/>
    <col min="6676" max="6676" width="11.42578125" style="203"/>
    <col min="6677" max="6677" width="12.7109375" style="203" bestFit="1" customWidth="1"/>
    <col min="6678" max="6911" width="11.42578125" style="203"/>
    <col min="6912" max="6912" width="5.42578125" style="203" customWidth="1"/>
    <col min="6913" max="6921" width="6.5703125" style="203" customWidth="1"/>
    <col min="6922" max="6923" width="7.5703125" style="203" bestFit="1" customWidth="1"/>
    <col min="6924" max="6924" width="6.5703125" style="203" customWidth="1"/>
    <col min="6925" max="6925" width="11.42578125" style="203"/>
    <col min="6926" max="6926" width="5.28515625" style="203" customWidth="1"/>
    <col min="6927" max="6927" width="6.85546875" style="203" customWidth="1"/>
    <col min="6928" max="6929" width="12.28515625" style="203" customWidth="1"/>
    <col min="6930" max="6930" width="14.42578125" style="203" customWidth="1"/>
    <col min="6931" max="6931" width="12.7109375" style="203" bestFit="1" customWidth="1"/>
    <col min="6932" max="6932" width="11.42578125" style="203"/>
    <col min="6933" max="6933" width="12.7109375" style="203" bestFit="1" customWidth="1"/>
    <col min="6934" max="7167" width="11.42578125" style="203"/>
    <col min="7168" max="7168" width="5.42578125" style="203" customWidth="1"/>
    <col min="7169" max="7177" width="6.5703125" style="203" customWidth="1"/>
    <col min="7178" max="7179" width="7.5703125" style="203" bestFit="1" customWidth="1"/>
    <col min="7180" max="7180" width="6.5703125" style="203" customWidth="1"/>
    <col min="7181" max="7181" width="11.42578125" style="203"/>
    <col min="7182" max="7182" width="5.28515625" style="203" customWidth="1"/>
    <col min="7183" max="7183" width="6.85546875" style="203" customWidth="1"/>
    <col min="7184" max="7185" width="12.28515625" style="203" customWidth="1"/>
    <col min="7186" max="7186" width="14.42578125" style="203" customWidth="1"/>
    <col min="7187" max="7187" width="12.7109375" style="203" bestFit="1" customWidth="1"/>
    <col min="7188" max="7188" width="11.42578125" style="203"/>
    <col min="7189" max="7189" width="12.7109375" style="203" bestFit="1" customWidth="1"/>
    <col min="7190" max="7423" width="11.42578125" style="203"/>
    <col min="7424" max="7424" width="5.42578125" style="203" customWidth="1"/>
    <col min="7425" max="7433" width="6.5703125" style="203" customWidth="1"/>
    <col min="7434" max="7435" width="7.5703125" style="203" bestFit="1" customWidth="1"/>
    <col min="7436" max="7436" width="6.5703125" style="203" customWidth="1"/>
    <col min="7437" max="7437" width="11.42578125" style="203"/>
    <col min="7438" max="7438" width="5.28515625" style="203" customWidth="1"/>
    <col min="7439" max="7439" width="6.85546875" style="203" customWidth="1"/>
    <col min="7440" max="7441" width="12.28515625" style="203" customWidth="1"/>
    <col min="7442" max="7442" width="14.42578125" style="203" customWidth="1"/>
    <col min="7443" max="7443" width="12.7109375" style="203" bestFit="1" customWidth="1"/>
    <col min="7444" max="7444" width="11.42578125" style="203"/>
    <col min="7445" max="7445" width="12.7109375" style="203" bestFit="1" customWidth="1"/>
    <col min="7446" max="7679" width="11.42578125" style="203"/>
    <col min="7680" max="7680" width="5.42578125" style="203" customWidth="1"/>
    <col min="7681" max="7689" width="6.5703125" style="203" customWidth="1"/>
    <col min="7690" max="7691" width="7.5703125" style="203" bestFit="1" customWidth="1"/>
    <col min="7692" max="7692" width="6.5703125" style="203" customWidth="1"/>
    <col min="7693" max="7693" width="11.42578125" style="203"/>
    <col min="7694" max="7694" width="5.28515625" style="203" customWidth="1"/>
    <col min="7695" max="7695" width="6.85546875" style="203" customWidth="1"/>
    <col min="7696" max="7697" width="12.28515625" style="203" customWidth="1"/>
    <col min="7698" max="7698" width="14.42578125" style="203" customWidth="1"/>
    <col min="7699" max="7699" width="12.7109375" style="203" bestFit="1" customWidth="1"/>
    <col min="7700" max="7700" width="11.42578125" style="203"/>
    <col min="7701" max="7701" width="12.7109375" style="203" bestFit="1" customWidth="1"/>
    <col min="7702" max="7935" width="11.42578125" style="203"/>
    <col min="7936" max="7936" width="5.42578125" style="203" customWidth="1"/>
    <col min="7937" max="7945" width="6.5703125" style="203" customWidth="1"/>
    <col min="7946" max="7947" width="7.5703125" style="203" bestFit="1" customWidth="1"/>
    <col min="7948" max="7948" width="6.5703125" style="203" customWidth="1"/>
    <col min="7949" max="7949" width="11.42578125" style="203"/>
    <col min="7950" max="7950" width="5.28515625" style="203" customWidth="1"/>
    <col min="7951" max="7951" width="6.85546875" style="203" customWidth="1"/>
    <col min="7952" max="7953" width="12.28515625" style="203" customWidth="1"/>
    <col min="7954" max="7954" width="14.42578125" style="203" customWidth="1"/>
    <col min="7955" max="7955" width="12.7109375" style="203" bestFit="1" customWidth="1"/>
    <col min="7956" max="7956" width="11.42578125" style="203"/>
    <col min="7957" max="7957" width="12.7109375" style="203" bestFit="1" customWidth="1"/>
    <col min="7958" max="8191" width="11.42578125" style="203"/>
    <col min="8192" max="8192" width="5.42578125" style="203" customWidth="1"/>
    <col min="8193" max="8201" width="6.5703125" style="203" customWidth="1"/>
    <col min="8202" max="8203" width="7.5703125" style="203" bestFit="1" customWidth="1"/>
    <col min="8204" max="8204" width="6.5703125" style="203" customWidth="1"/>
    <col min="8205" max="8205" width="11.42578125" style="203"/>
    <col min="8206" max="8206" width="5.28515625" style="203" customWidth="1"/>
    <col min="8207" max="8207" width="6.85546875" style="203" customWidth="1"/>
    <col min="8208" max="8209" width="12.28515625" style="203" customWidth="1"/>
    <col min="8210" max="8210" width="14.42578125" style="203" customWidth="1"/>
    <col min="8211" max="8211" width="12.7109375" style="203" bestFit="1" customWidth="1"/>
    <col min="8212" max="8212" width="11.42578125" style="203"/>
    <col min="8213" max="8213" width="12.7109375" style="203" bestFit="1" customWidth="1"/>
    <col min="8214" max="8447" width="11.42578125" style="203"/>
    <col min="8448" max="8448" width="5.42578125" style="203" customWidth="1"/>
    <col min="8449" max="8457" width="6.5703125" style="203" customWidth="1"/>
    <col min="8458" max="8459" width="7.5703125" style="203" bestFit="1" customWidth="1"/>
    <col min="8460" max="8460" width="6.5703125" style="203" customWidth="1"/>
    <col min="8461" max="8461" width="11.42578125" style="203"/>
    <col min="8462" max="8462" width="5.28515625" style="203" customWidth="1"/>
    <col min="8463" max="8463" width="6.85546875" style="203" customWidth="1"/>
    <col min="8464" max="8465" width="12.28515625" style="203" customWidth="1"/>
    <col min="8466" max="8466" width="14.42578125" style="203" customWidth="1"/>
    <col min="8467" max="8467" width="12.7109375" style="203" bestFit="1" customWidth="1"/>
    <col min="8468" max="8468" width="11.42578125" style="203"/>
    <col min="8469" max="8469" width="12.7109375" style="203" bestFit="1" customWidth="1"/>
    <col min="8470" max="8703" width="11.42578125" style="203"/>
    <col min="8704" max="8704" width="5.42578125" style="203" customWidth="1"/>
    <col min="8705" max="8713" width="6.5703125" style="203" customWidth="1"/>
    <col min="8714" max="8715" width="7.5703125" style="203" bestFit="1" customWidth="1"/>
    <col min="8716" max="8716" width="6.5703125" style="203" customWidth="1"/>
    <col min="8717" max="8717" width="11.42578125" style="203"/>
    <col min="8718" max="8718" width="5.28515625" style="203" customWidth="1"/>
    <col min="8719" max="8719" width="6.85546875" style="203" customWidth="1"/>
    <col min="8720" max="8721" width="12.28515625" style="203" customWidth="1"/>
    <col min="8722" max="8722" width="14.42578125" style="203" customWidth="1"/>
    <col min="8723" max="8723" width="12.7109375" style="203" bestFit="1" customWidth="1"/>
    <col min="8724" max="8724" width="11.42578125" style="203"/>
    <col min="8725" max="8725" width="12.7109375" style="203" bestFit="1" customWidth="1"/>
    <col min="8726" max="8959" width="11.42578125" style="203"/>
    <col min="8960" max="8960" width="5.42578125" style="203" customWidth="1"/>
    <col min="8961" max="8969" width="6.5703125" style="203" customWidth="1"/>
    <col min="8970" max="8971" width="7.5703125" style="203" bestFit="1" customWidth="1"/>
    <col min="8972" max="8972" width="6.5703125" style="203" customWidth="1"/>
    <col min="8973" max="8973" width="11.42578125" style="203"/>
    <col min="8974" max="8974" width="5.28515625" style="203" customWidth="1"/>
    <col min="8975" max="8975" width="6.85546875" style="203" customWidth="1"/>
    <col min="8976" max="8977" width="12.28515625" style="203" customWidth="1"/>
    <col min="8978" max="8978" width="14.42578125" style="203" customWidth="1"/>
    <col min="8979" max="8979" width="12.7109375" style="203" bestFit="1" customWidth="1"/>
    <col min="8980" max="8980" width="11.42578125" style="203"/>
    <col min="8981" max="8981" width="12.7109375" style="203" bestFit="1" customWidth="1"/>
    <col min="8982" max="9215" width="11.42578125" style="203"/>
    <col min="9216" max="9216" width="5.42578125" style="203" customWidth="1"/>
    <col min="9217" max="9225" width="6.5703125" style="203" customWidth="1"/>
    <col min="9226" max="9227" width="7.5703125" style="203" bestFit="1" customWidth="1"/>
    <col min="9228" max="9228" width="6.5703125" style="203" customWidth="1"/>
    <col min="9229" max="9229" width="11.42578125" style="203"/>
    <col min="9230" max="9230" width="5.28515625" style="203" customWidth="1"/>
    <col min="9231" max="9231" width="6.85546875" style="203" customWidth="1"/>
    <col min="9232" max="9233" width="12.28515625" style="203" customWidth="1"/>
    <col min="9234" max="9234" width="14.42578125" style="203" customWidth="1"/>
    <col min="9235" max="9235" width="12.7109375" style="203" bestFit="1" customWidth="1"/>
    <col min="9236" max="9236" width="11.42578125" style="203"/>
    <col min="9237" max="9237" width="12.7109375" style="203" bestFit="1" customWidth="1"/>
    <col min="9238" max="9471" width="11.42578125" style="203"/>
    <col min="9472" max="9472" width="5.42578125" style="203" customWidth="1"/>
    <col min="9473" max="9481" width="6.5703125" style="203" customWidth="1"/>
    <col min="9482" max="9483" width="7.5703125" style="203" bestFit="1" customWidth="1"/>
    <col min="9484" max="9484" width="6.5703125" style="203" customWidth="1"/>
    <col min="9485" max="9485" width="11.42578125" style="203"/>
    <col min="9486" max="9486" width="5.28515625" style="203" customWidth="1"/>
    <col min="9487" max="9487" width="6.85546875" style="203" customWidth="1"/>
    <col min="9488" max="9489" width="12.28515625" style="203" customWidth="1"/>
    <col min="9490" max="9490" width="14.42578125" style="203" customWidth="1"/>
    <col min="9491" max="9491" width="12.7109375" style="203" bestFit="1" customWidth="1"/>
    <col min="9492" max="9492" width="11.42578125" style="203"/>
    <col min="9493" max="9493" width="12.7109375" style="203" bestFit="1" customWidth="1"/>
    <col min="9494" max="9727" width="11.42578125" style="203"/>
    <col min="9728" max="9728" width="5.42578125" style="203" customWidth="1"/>
    <col min="9729" max="9737" width="6.5703125" style="203" customWidth="1"/>
    <col min="9738" max="9739" width="7.5703125" style="203" bestFit="1" customWidth="1"/>
    <col min="9740" max="9740" width="6.5703125" style="203" customWidth="1"/>
    <col min="9741" max="9741" width="11.42578125" style="203"/>
    <col min="9742" max="9742" width="5.28515625" style="203" customWidth="1"/>
    <col min="9743" max="9743" width="6.85546875" style="203" customWidth="1"/>
    <col min="9744" max="9745" width="12.28515625" style="203" customWidth="1"/>
    <col min="9746" max="9746" width="14.42578125" style="203" customWidth="1"/>
    <col min="9747" max="9747" width="12.7109375" style="203" bestFit="1" customWidth="1"/>
    <col min="9748" max="9748" width="11.42578125" style="203"/>
    <col min="9749" max="9749" width="12.7109375" style="203" bestFit="1" customWidth="1"/>
    <col min="9750" max="9983" width="11.42578125" style="203"/>
    <col min="9984" max="9984" width="5.42578125" style="203" customWidth="1"/>
    <col min="9985" max="9993" width="6.5703125" style="203" customWidth="1"/>
    <col min="9994" max="9995" width="7.5703125" style="203" bestFit="1" customWidth="1"/>
    <col min="9996" max="9996" width="6.5703125" style="203" customWidth="1"/>
    <col min="9997" max="9997" width="11.42578125" style="203"/>
    <col min="9998" max="9998" width="5.28515625" style="203" customWidth="1"/>
    <col min="9999" max="9999" width="6.85546875" style="203" customWidth="1"/>
    <col min="10000" max="10001" width="12.28515625" style="203" customWidth="1"/>
    <col min="10002" max="10002" width="14.42578125" style="203" customWidth="1"/>
    <col min="10003" max="10003" width="12.7109375" style="203" bestFit="1" customWidth="1"/>
    <col min="10004" max="10004" width="11.42578125" style="203"/>
    <col min="10005" max="10005" width="12.7109375" style="203" bestFit="1" customWidth="1"/>
    <col min="10006" max="10239" width="11.42578125" style="203"/>
    <col min="10240" max="10240" width="5.42578125" style="203" customWidth="1"/>
    <col min="10241" max="10249" width="6.5703125" style="203" customWidth="1"/>
    <col min="10250" max="10251" width="7.5703125" style="203" bestFit="1" customWidth="1"/>
    <col min="10252" max="10252" width="6.5703125" style="203" customWidth="1"/>
    <col min="10253" max="10253" width="11.42578125" style="203"/>
    <col min="10254" max="10254" width="5.28515625" style="203" customWidth="1"/>
    <col min="10255" max="10255" width="6.85546875" style="203" customWidth="1"/>
    <col min="10256" max="10257" width="12.28515625" style="203" customWidth="1"/>
    <col min="10258" max="10258" width="14.42578125" style="203" customWidth="1"/>
    <col min="10259" max="10259" width="12.7109375" style="203" bestFit="1" customWidth="1"/>
    <col min="10260" max="10260" width="11.42578125" style="203"/>
    <col min="10261" max="10261" width="12.7109375" style="203" bestFit="1" customWidth="1"/>
    <col min="10262" max="10495" width="11.42578125" style="203"/>
    <col min="10496" max="10496" width="5.42578125" style="203" customWidth="1"/>
    <col min="10497" max="10505" width="6.5703125" style="203" customWidth="1"/>
    <col min="10506" max="10507" width="7.5703125" style="203" bestFit="1" customWidth="1"/>
    <col min="10508" max="10508" width="6.5703125" style="203" customWidth="1"/>
    <col min="10509" max="10509" width="11.42578125" style="203"/>
    <col min="10510" max="10510" width="5.28515625" style="203" customWidth="1"/>
    <col min="10511" max="10511" width="6.85546875" style="203" customWidth="1"/>
    <col min="10512" max="10513" width="12.28515625" style="203" customWidth="1"/>
    <col min="10514" max="10514" width="14.42578125" style="203" customWidth="1"/>
    <col min="10515" max="10515" width="12.7109375" style="203" bestFit="1" customWidth="1"/>
    <col min="10516" max="10516" width="11.42578125" style="203"/>
    <col min="10517" max="10517" width="12.7109375" style="203" bestFit="1" customWidth="1"/>
    <col min="10518" max="10751" width="11.42578125" style="203"/>
    <col min="10752" max="10752" width="5.42578125" style="203" customWidth="1"/>
    <col min="10753" max="10761" width="6.5703125" style="203" customWidth="1"/>
    <col min="10762" max="10763" width="7.5703125" style="203" bestFit="1" customWidth="1"/>
    <col min="10764" max="10764" width="6.5703125" style="203" customWidth="1"/>
    <col min="10765" max="10765" width="11.42578125" style="203"/>
    <col min="10766" max="10766" width="5.28515625" style="203" customWidth="1"/>
    <col min="10767" max="10767" width="6.85546875" style="203" customWidth="1"/>
    <col min="10768" max="10769" width="12.28515625" style="203" customWidth="1"/>
    <col min="10770" max="10770" width="14.42578125" style="203" customWidth="1"/>
    <col min="10771" max="10771" width="12.7109375" style="203" bestFit="1" customWidth="1"/>
    <col min="10772" max="10772" width="11.42578125" style="203"/>
    <col min="10773" max="10773" width="12.7109375" style="203" bestFit="1" customWidth="1"/>
    <col min="10774" max="11007" width="11.42578125" style="203"/>
    <col min="11008" max="11008" width="5.42578125" style="203" customWidth="1"/>
    <col min="11009" max="11017" width="6.5703125" style="203" customWidth="1"/>
    <col min="11018" max="11019" width="7.5703125" style="203" bestFit="1" customWidth="1"/>
    <col min="11020" max="11020" width="6.5703125" style="203" customWidth="1"/>
    <col min="11021" max="11021" width="11.42578125" style="203"/>
    <col min="11022" max="11022" width="5.28515625" style="203" customWidth="1"/>
    <col min="11023" max="11023" width="6.85546875" style="203" customWidth="1"/>
    <col min="11024" max="11025" width="12.28515625" style="203" customWidth="1"/>
    <col min="11026" max="11026" width="14.42578125" style="203" customWidth="1"/>
    <col min="11027" max="11027" width="12.7109375" style="203" bestFit="1" customWidth="1"/>
    <col min="11028" max="11028" width="11.42578125" style="203"/>
    <col min="11029" max="11029" width="12.7109375" style="203" bestFit="1" customWidth="1"/>
    <col min="11030" max="11263" width="11.42578125" style="203"/>
    <col min="11264" max="11264" width="5.42578125" style="203" customWidth="1"/>
    <col min="11265" max="11273" width="6.5703125" style="203" customWidth="1"/>
    <col min="11274" max="11275" width="7.5703125" style="203" bestFit="1" customWidth="1"/>
    <col min="11276" max="11276" width="6.5703125" style="203" customWidth="1"/>
    <col min="11277" max="11277" width="11.42578125" style="203"/>
    <col min="11278" max="11278" width="5.28515625" style="203" customWidth="1"/>
    <col min="11279" max="11279" width="6.85546875" style="203" customWidth="1"/>
    <col min="11280" max="11281" width="12.28515625" style="203" customWidth="1"/>
    <col min="11282" max="11282" width="14.42578125" style="203" customWidth="1"/>
    <col min="11283" max="11283" width="12.7109375" style="203" bestFit="1" customWidth="1"/>
    <col min="11284" max="11284" width="11.42578125" style="203"/>
    <col min="11285" max="11285" width="12.7109375" style="203" bestFit="1" customWidth="1"/>
    <col min="11286" max="11519" width="11.42578125" style="203"/>
    <col min="11520" max="11520" width="5.42578125" style="203" customWidth="1"/>
    <col min="11521" max="11529" width="6.5703125" style="203" customWidth="1"/>
    <col min="11530" max="11531" width="7.5703125" style="203" bestFit="1" customWidth="1"/>
    <col min="11532" max="11532" width="6.5703125" style="203" customWidth="1"/>
    <col min="11533" max="11533" width="11.42578125" style="203"/>
    <col min="11534" max="11534" width="5.28515625" style="203" customWidth="1"/>
    <col min="11535" max="11535" width="6.85546875" style="203" customWidth="1"/>
    <col min="11536" max="11537" width="12.28515625" style="203" customWidth="1"/>
    <col min="11538" max="11538" width="14.42578125" style="203" customWidth="1"/>
    <col min="11539" max="11539" width="12.7109375" style="203" bestFit="1" customWidth="1"/>
    <col min="11540" max="11540" width="11.42578125" style="203"/>
    <col min="11541" max="11541" width="12.7109375" style="203" bestFit="1" customWidth="1"/>
    <col min="11542" max="11775" width="11.42578125" style="203"/>
    <col min="11776" max="11776" width="5.42578125" style="203" customWidth="1"/>
    <col min="11777" max="11785" width="6.5703125" style="203" customWidth="1"/>
    <col min="11786" max="11787" width="7.5703125" style="203" bestFit="1" customWidth="1"/>
    <col min="11788" max="11788" width="6.5703125" style="203" customWidth="1"/>
    <col min="11789" max="11789" width="11.42578125" style="203"/>
    <col min="11790" max="11790" width="5.28515625" style="203" customWidth="1"/>
    <col min="11791" max="11791" width="6.85546875" style="203" customWidth="1"/>
    <col min="11792" max="11793" width="12.28515625" style="203" customWidth="1"/>
    <col min="11794" max="11794" width="14.42578125" style="203" customWidth="1"/>
    <col min="11795" max="11795" width="12.7109375" style="203" bestFit="1" customWidth="1"/>
    <col min="11796" max="11796" width="11.42578125" style="203"/>
    <col min="11797" max="11797" width="12.7109375" style="203" bestFit="1" customWidth="1"/>
    <col min="11798" max="12031" width="11.42578125" style="203"/>
    <col min="12032" max="12032" width="5.42578125" style="203" customWidth="1"/>
    <col min="12033" max="12041" width="6.5703125" style="203" customWidth="1"/>
    <col min="12042" max="12043" width="7.5703125" style="203" bestFit="1" customWidth="1"/>
    <col min="12044" max="12044" width="6.5703125" style="203" customWidth="1"/>
    <col min="12045" max="12045" width="11.42578125" style="203"/>
    <col min="12046" max="12046" width="5.28515625" style="203" customWidth="1"/>
    <col min="12047" max="12047" width="6.85546875" style="203" customWidth="1"/>
    <col min="12048" max="12049" width="12.28515625" style="203" customWidth="1"/>
    <col min="12050" max="12050" width="14.42578125" style="203" customWidth="1"/>
    <col min="12051" max="12051" width="12.7109375" style="203" bestFit="1" customWidth="1"/>
    <col min="12052" max="12052" width="11.42578125" style="203"/>
    <col min="12053" max="12053" width="12.7109375" style="203" bestFit="1" customWidth="1"/>
    <col min="12054" max="12287" width="11.42578125" style="203"/>
    <col min="12288" max="12288" width="5.42578125" style="203" customWidth="1"/>
    <col min="12289" max="12297" width="6.5703125" style="203" customWidth="1"/>
    <col min="12298" max="12299" width="7.5703125" style="203" bestFit="1" customWidth="1"/>
    <col min="12300" max="12300" width="6.5703125" style="203" customWidth="1"/>
    <col min="12301" max="12301" width="11.42578125" style="203"/>
    <col min="12302" max="12302" width="5.28515625" style="203" customWidth="1"/>
    <col min="12303" max="12303" width="6.85546875" style="203" customWidth="1"/>
    <col min="12304" max="12305" width="12.28515625" style="203" customWidth="1"/>
    <col min="12306" max="12306" width="14.42578125" style="203" customWidth="1"/>
    <col min="12307" max="12307" width="12.7109375" style="203" bestFit="1" customWidth="1"/>
    <col min="12308" max="12308" width="11.42578125" style="203"/>
    <col min="12309" max="12309" width="12.7109375" style="203" bestFit="1" customWidth="1"/>
    <col min="12310" max="12543" width="11.42578125" style="203"/>
    <col min="12544" max="12544" width="5.42578125" style="203" customWidth="1"/>
    <col min="12545" max="12553" width="6.5703125" style="203" customWidth="1"/>
    <col min="12554" max="12555" width="7.5703125" style="203" bestFit="1" customWidth="1"/>
    <col min="12556" max="12556" width="6.5703125" style="203" customWidth="1"/>
    <col min="12557" max="12557" width="11.42578125" style="203"/>
    <col min="12558" max="12558" width="5.28515625" style="203" customWidth="1"/>
    <col min="12559" max="12559" width="6.85546875" style="203" customWidth="1"/>
    <col min="12560" max="12561" width="12.28515625" style="203" customWidth="1"/>
    <col min="12562" max="12562" width="14.42578125" style="203" customWidth="1"/>
    <col min="12563" max="12563" width="12.7109375" style="203" bestFit="1" customWidth="1"/>
    <col min="12564" max="12564" width="11.42578125" style="203"/>
    <col min="12565" max="12565" width="12.7109375" style="203" bestFit="1" customWidth="1"/>
    <col min="12566" max="12799" width="11.42578125" style="203"/>
    <col min="12800" max="12800" width="5.42578125" style="203" customWidth="1"/>
    <col min="12801" max="12809" width="6.5703125" style="203" customWidth="1"/>
    <col min="12810" max="12811" width="7.5703125" style="203" bestFit="1" customWidth="1"/>
    <col min="12812" max="12812" width="6.5703125" style="203" customWidth="1"/>
    <col min="12813" max="12813" width="11.42578125" style="203"/>
    <col min="12814" max="12814" width="5.28515625" style="203" customWidth="1"/>
    <col min="12815" max="12815" width="6.85546875" style="203" customWidth="1"/>
    <col min="12816" max="12817" width="12.28515625" style="203" customWidth="1"/>
    <col min="12818" max="12818" width="14.42578125" style="203" customWidth="1"/>
    <col min="12819" max="12819" width="12.7109375" style="203" bestFit="1" customWidth="1"/>
    <col min="12820" max="12820" width="11.42578125" style="203"/>
    <col min="12821" max="12821" width="12.7109375" style="203" bestFit="1" customWidth="1"/>
    <col min="12822" max="13055" width="11.42578125" style="203"/>
    <col min="13056" max="13056" width="5.42578125" style="203" customWidth="1"/>
    <col min="13057" max="13065" width="6.5703125" style="203" customWidth="1"/>
    <col min="13066" max="13067" width="7.5703125" style="203" bestFit="1" customWidth="1"/>
    <col min="13068" max="13068" width="6.5703125" style="203" customWidth="1"/>
    <col min="13069" max="13069" width="11.42578125" style="203"/>
    <col min="13070" max="13070" width="5.28515625" style="203" customWidth="1"/>
    <col min="13071" max="13071" width="6.85546875" style="203" customWidth="1"/>
    <col min="13072" max="13073" width="12.28515625" style="203" customWidth="1"/>
    <col min="13074" max="13074" width="14.42578125" style="203" customWidth="1"/>
    <col min="13075" max="13075" width="12.7109375" style="203" bestFit="1" customWidth="1"/>
    <col min="13076" max="13076" width="11.42578125" style="203"/>
    <col min="13077" max="13077" width="12.7109375" style="203" bestFit="1" customWidth="1"/>
    <col min="13078" max="13311" width="11.42578125" style="203"/>
    <col min="13312" max="13312" width="5.42578125" style="203" customWidth="1"/>
    <col min="13313" max="13321" width="6.5703125" style="203" customWidth="1"/>
    <col min="13322" max="13323" width="7.5703125" style="203" bestFit="1" customWidth="1"/>
    <col min="13324" max="13324" width="6.5703125" style="203" customWidth="1"/>
    <col min="13325" max="13325" width="11.42578125" style="203"/>
    <col min="13326" max="13326" width="5.28515625" style="203" customWidth="1"/>
    <col min="13327" max="13327" width="6.85546875" style="203" customWidth="1"/>
    <col min="13328" max="13329" width="12.28515625" style="203" customWidth="1"/>
    <col min="13330" max="13330" width="14.42578125" style="203" customWidth="1"/>
    <col min="13331" max="13331" width="12.7109375" style="203" bestFit="1" customWidth="1"/>
    <col min="13332" max="13332" width="11.42578125" style="203"/>
    <col min="13333" max="13333" width="12.7109375" style="203" bestFit="1" customWidth="1"/>
    <col min="13334" max="13567" width="11.42578125" style="203"/>
    <col min="13568" max="13568" width="5.42578125" style="203" customWidth="1"/>
    <col min="13569" max="13577" width="6.5703125" style="203" customWidth="1"/>
    <col min="13578" max="13579" width="7.5703125" style="203" bestFit="1" customWidth="1"/>
    <col min="13580" max="13580" width="6.5703125" style="203" customWidth="1"/>
    <col min="13581" max="13581" width="11.42578125" style="203"/>
    <col min="13582" max="13582" width="5.28515625" style="203" customWidth="1"/>
    <col min="13583" max="13583" width="6.85546875" style="203" customWidth="1"/>
    <col min="13584" max="13585" width="12.28515625" style="203" customWidth="1"/>
    <col min="13586" max="13586" width="14.42578125" style="203" customWidth="1"/>
    <col min="13587" max="13587" width="12.7109375" style="203" bestFit="1" customWidth="1"/>
    <col min="13588" max="13588" width="11.42578125" style="203"/>
    <col min="13589" max="13589" width="12.7109375" style="203" bestFit="1" customWidth="1"/>
    <col min="13590" max="13823" width="11.42578125" style="203"/>
    <col min="13824" max="13824" width="5.42578125" style="203" customWidth="1"/>
    <col min="13825" max="13833" width="6.5703125" style="203" customWidth="1"/>
    <col min="13834" max="13835" width="7.5703125" style="203" bestFit="1" customWidth="1"/>
    <col min="13836" max="13836" width="6.5703125" style="203" customWidth="1"/>
    <col min="13837" max="13837" width="11.42578125" style="203"/>
    <col min="13838" max="13838" width="5.28515625" style="203" customWidth="1"/>
    <col min="13839" max="13839" width="6.85546875" style="203" customWidth="1"/>
    <col min="13840" max="13841" width="12.28515625" style="203" customWidth="1"/>
    <col min="13842" max="13842" width="14.42578125" style="203" customWidth="1"/>
    <col min="13843" max="13843" width="12.7109375" style="203" bestFit="1" customWidth="1"/>
    <col min="13844" max="13844" width="11.42578125" style="203"/>
    <col min="13845" max="13845" width="12.7109375" style="203" bestFit="1" customWidth="1"/>
    <col min="13846" max="14079" width="11.42578125" style="203"/>
    <col min="14080" max="14080" width="5.42578125" style="203" customWidth="1"/>
    <col min="14081" max="14089" width="6.5703125" style="203" customWidth="1"/>
    <col min="14090" max="14091" width="7.5703125" style="203" bestFit="1" customWidth="1"/>
    <col min="14092" max="14092" width="6.5703125" style="203" customWidth="1"/>
    <col min="14093" max="14093" width="11.42578125" style="203"/>
    <col min="14094" max="14094" width="5.28515625" style="203" customWidth="1"/>
    <col min="14095" max="14095" width="6.85546875" style="203" customWidth="1"/>
    <col min="14096" max="14097" width="12.28515625" style="203" customWidth="1"/>
    <col min="14098" max="14098" width="14.42578125" style="203" customWidth="1"/>
    <col min="14099" max="14099" width="12.7109375" style="203" bestFit="1" customWidth="1"/>
    <col min="14100" max="14100" width="11.42578125" style="203"/>
    <col min="14101" max="14101" width="12.7109375" style="203" bestFit="1" customWidth="1"/>
    <col min="14102" max="14335" width="11.42578125" style="203"/>
    <col min="14336" max="14336" width="5.42578125" style="203" customWidth="1"/>
    <col min="14337" max="14345" width="6.5703125" style="203" customWidth="1"/>
    <col min="14346" max="14347" width="7.5703125" style="203" bestFit="1" customWidth="1"/>
    <col min="14348" max="14348" width="6.5703125" style="203" customWidth="1"/>
    <col min="14349" max="14349" width="11.42578125" style="203"/>
    <col min="14350" max="14350" width="5.28515625" style="203" customWidth="1"/>
    <col min="14351" max="14351" width="6.85546875" style="203" customWidth="1"/>
    <col min="14352" max="14353" width="12.28515625" style="203" customWidth="1"/>
    <col min="14354" max="14354" width="14.42578125" style="203" customWidth="1"/>
    <col min="14355" max="14355" width="12.7109375" style="203" bestFit="1" customWidth="1"/>
    <col min="14356" max="14356" width="11.42578125" style="203"/>
    <col min="14357" max="14357" width="12.7109375" style="203" bestFit="1" customWidth="1"/>
    <col min="14358" max="14591" width="11.42578125" style="203"/>
    <col min="14592" max="14592" width="5.42578125" style="203" customWidth="1"/>
    <col min="14593" max="14601" width="6.5703125" style="203" customWidth="1"/>
    <col min="14602" max="14603" width="7.5703125" style="203" bestFit="1" customWidth="1"/>
    <col min="14604" max="14604" width="6.5703125" style="203" customWidth="1"/>
    <col min="14605" max="14605" width="11.42578125" style="203"/>
    <col min="14606" max="14606" width="5.28515625" style="203" customWidth="1"/>
    <col min="14607" max="14607" width="6.85546875" style="203" customWidth="1"/>
    <col min="14608" max="14609" width="12.28515625" style="203" customWidth="1"/>
    <col min="14610" max="14610" width="14.42578125" style="203" customWidth="1"/>
    <col min="14611" max="14611" width="12.7109375" style="203" bestFit="1" customWidth="1"/>
    <col min="14612" max="14612" width="11.42578125" style="203"/>
    <col min="14613" max="14613" width="12.7109375" style="203" bestFit="1" customWidth="1"/>
    <col min="14614" max="14847" width="11.42578125" style="203"/>
    <col min="14848" max="14848" width="5.42578125" style="203" customWidth="1"/>
    <col min="14849" max="14857" width="6.5703125" style="203" customWidth="1"/>
    <col min="14858" max="14859" width="7.5703125" style="203" bestFit="1" customWidth="1"/>
    <col min="14860" max="14860" width="6.5703125" style="203" customWidth="1"/>
    <col min="14861" max="14861" width="11.42578125" style="203"/>
    <col min="14862" max="14862" width="5.28515625" style="203" customWidth="1"/>
    <col min="14863" max="14863" width="6.85546875" style="203" customWidth="1"/>
    <col min="14864" max="14865" width="12.28515625" style="203" customWidth="1"/>
    <col min="14866" max="14866" width="14.42578125" style="203" customWidth="1"/>
    <col min="14867" max="14867" width="12.7109375" style="203" bestFit="1" customWidth="1"/>
    <col min="14868" max="14868" width="11.42578125" style="203"/>
    <col min="14869" max="14869" width="12.7109375" style="203" bestFit="1" customWidth="1"/>
    <col min="14870" max="15103" width="11.42578125" style="203"/>
    <col min="15104" max="15104" width="5.42578125" style="203" customWidth="1"/>
    <col min="15105" max="15113" width="6.5703125" style="203" customWidth="1"/>
    <col min="15114" max="15115" width="7.5703125" style="203" bestFit="1" customWidth="1"/>
    <col min="15116" max="15116" width="6.5703125" style="203" customWidth="1"/>
    <col min="15117" max="15117" width="11.42578125" style="203"/>
    <col min="15118" max="15118" width="5.28515625" style="203" customWidth="1"/>
    <col min="15119" max="15119" width="6.85546875" style="203" customWidth="1"/>
    <col min="15120" max="15121" width="12.28515625" style="203" customWidth="1"/>
    <col min="15122" max="15122" width="14.42578125" style="203" customWidth="1"/>
    <col min="15123" max="15123" width="12.7109375" style="203" bestFit="1" customWidth="1"/>
    <col min="15124" max="15124" width="11.42578125" style="203"/>
    <col min="15125" max="15125" width="12.7109375" style="203" bestFit="1" customWidth="1"/>
    <col min="15126" max="15359" width="11.42578125" style="203"/>
    <col min="15360" max="15360" width="5.42578125" style="203" customWidth="1"/>
    <col min="15361" max="15369" width="6.5703125" style="203" customWidth="1"/>
    <col min="15370" max="15371" width="7.5703125" style="203" bestFit="1" customWidth="1"/>
    <col min="15372" max="15372" width="6.5703125" style="203" customWidth="1"/>
    <col min="15373" max="15373" width="11.42578125" style="203"/>
    <col min="15374" max="15374" width="5.28515625" style="203" customWidth="1"/>
    <col min="15375" max="15375" width="6.85546875" style="203" customWidth="1"/>
    <col min="15376" max="15377" width="12.28515625" style="203" customWidth="1"/>
    <col min="15378" max="15378" width="14.42578125" style="203" customWidth="1"/>
    <col min="15379" max="15379" width="12.7109375" style="203" bestFit="1" customWidth="1"/>
    <col min="15380" max="15380" width="11.42578125" style="203"/>
    <col min="15381" max="15381" width="12.7109375" style="203" bestFit="1" customWidth="1"/>
    <col min="15382" max="15615" width="11.42578125" style="203"/>
    <col min="15616" max="15616" width="5.42578125" style="203" customWidth="1"/>
    <col min="15617" max="15625" width="6.5703125" style="203" customWidth="1"/>
    <col min="15626" max="15627" width="7.5703125" style="203" bestFit="1" customWidth="1"/>
    <col min="15628" max="15628" width="6.5703125" style="203" customWidth="1"/>
    <col min="15629" max="15629" width="11.42578125" style="203"/>
    <col min="15630" max="15630" width="5.28515625" style="203" customWidth="1"/>
    <col min="15631" max="15631" width="6.85546875" style="203" customWidth="1"/>
    <col min="15632" max="15633" width="12.28515625" style="203" customWidth="1"/>
    <col min="15634" max="15634" width="14.42578125" style="203" customWidth="1"/>
    <col min="15635" max="15635" width="12.7109375" style="203" bestFit="1" customWidth="1"/>
    <col min="15636" max="15636" width="11.42578125" style="203"/>
    <col min="15637" max="15637" width="12.7109375" style="203" bestFit="1" customWidth="1"/>
    <col min="15638" max="15871" width="11.42578125" style="203"/>
    <col min="15872" max="15872" width="5.42578125" style="203" customWidth="1"/>
    <col min="15873" max="15881" width="6.5703125" style="203" customWidth="1"/>
    <col min="15882" max="15883" width="7.5703125" style="203" bestFit="1" customWidth="1"/>
    <col min="15884" max="15884" width="6.5703125" style="203" customWidth="1"/>
    <col min="15885" max="15885" width="11.42578125" style="203"/>
    <col min="15886" max="15886" width="5.28515625" style="203" customWidth="1"/>
    <col min="15887" max="15887" width="6.85546875" style="203" customWidth="1"/>
    <col min="15888" max="15889" width="12.28515625" style="203" customWidth="1"/>
    <col min="15890" max="15890" width="14.42578125" style="203" customWidth="1"/>
    <col min="15891" max="15891" width="12.7109375" style="203" bestFit="1" customWidth="1"/>
    <col min="15892" max="15892" width="11.42578125" style="203"/>
    <col min="15893" max="15893" width="12.7109375" style="203" bestFit="1" customWidth="1"/>
    <col min="15894" max="16127" width="11.42578125" style="203"/>
    <col min="16128" max="16128" width="5.42578125" style="203" customWidth="1"/>
    <col min="16129" max="16137" width="6.5703125" style="203" customWidth="1"/>
    <col min="16138" max="16139" width="7.5703125" style="203" bestFit="1" customWidth="1"/>
    <col min="16140" max="16140" width="6.5703125" style="203" customWidth="1"/>
    <col min="16141" max="16141" width="11.42578125" style="203"/>
    <col min="16142" max="16142" width="5.28515625" style="203" customWidth="1"/>
    <col min="16143" max="16143" width="6.85546875" style="203" customWidth="1"/>
    <col min="16144" max="16145" width="12.28515625" style="203" customWidth="1"/>
    <col min="16146" max="16146" width="14.42578125" style="203" customWidth="1"/>
    <col min="16147" max="16147" width="12.7109375" style="203" bestFit="1" customWidth="1"/>
    <col min="16148" max="16148" width="11.42578125" style="203"/>
    <col min="16149" max="16149" width="12.7109375" style="203" bestFit="1" customWidth="1"/>
    <col min="16150" max="16384" width="11.42578125" style="203"/>
  </cols>
  <sheetData>
    <row r="2" spans="1:21" x14ac:dyDescent="0.25">
      <c r="A2" s="751" t="s">
        <v>124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P2" s="751" t="s">
        <v>125</v>
      </c>
      <c r="Q2" s="751"/>
      <c r="R2" s="751"/>
      <c r="S2" s="751"/>
    </row>
    <row r="4" spans="1:21" ht="34.5" customHeight="1" x14ac:dyDescent="0.25">
      <c r="A4" s="752" t="s">
        <v>1</v>
      </c>
      <c r="B4" s="752" t="s">
        <v>126</v>
      </c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3" t="s">
        <v>200</v>
      </c>
      <c r="P4" s="752" t="s">
        <v>1</v>
      </c>
      <c r="Q4" s="753" t="s">
        <v>127</v>
      </c>
      <c r="R4" s="753" t="s">
        <v>201</v>
      </c>
      <c r="S4" s="754"/>
    </row>
    <row r="5" spans="1:21" x14ac:dyDescent="0.25">
      <c r="A5" s="752"/>
      <c r="B5" s="516" t="s">
        <v>128</v>
      </c>
      <c r="C5" s="516" t="s">
        <v>129</v>
      </c>
      <c r="D5" s="516" t="s">
        <v>130</v>
      </c>
      <c r="E5" s="516" t="s">
        <v>131</v>
      </c>
      <c r="F5" s="516" t="s">
        <v>132</v>
      </c>
      <c r="G5" s="516" t="s">
        <v>133</v>
      </c>
      <c r="H5" s="516" t="s">
        <v>134</v>
      </c>
      <c r="I5" s="516" t="s">
        <v>135</v>
      </c>
      <c r="J5" s="516" t="s">
        <v>136</v>
      </c>
      <c r="K5" s="516" t="s">
        <v>137</v>
      </c>
      <c r="L5" s="516" t="s">
        <v>138</v>
      </c>
      <c r="M5" s="516" t="s">
        <v>139</v>
      </c>
      <c r="N5" s="753"/>
      <c r="P5" s="752"/>
      <c r="Q5" s="753"/>
      <c r="R5" s="753"/>
      <c r="S5" s="754"/>
    </row>
    <row r="6" spans="1:21" x14ac:dyDescent="0.25">
      <c r="A6" s="516"/>
      <c r="B6" s="517">
        <v>0.2</v>
      </c>
      <c r="C6" s="517">
        <v>0.3</v>
      </c>
      <c r="D6" s="517">
        <v>0.2</v>
      </c>
      <c r="E6" s="517"/>
      <c r="F6" s="517"/>
      <c r="G6" s="517"/>
      <c r="H6" s="517"/>
      <c r="I6" s="517"/>
      <c r="J6" s="517"/>
      <c r="K6" s="517">
        <v>0.05</v>
      </c>
      <c r="L6" s="517">
        <v>0.15</v>
      </c>
      <c r="M6" s="517">
        <v>0.1</v>
      </c>
      <c r="N6" s="518">
        <f>+SUM(B6:M6)</f>
        <v>1</v>
      </c>
      <c r="P6" s="516"/>
      <c r="Q6" s="519"/>
      <c r="R6" s="519"/>
      <c r="S6" s="90"/>
    </row>
    <row r="7" spans="1:21" x14ac:dyDescent="0.25">
      <c r="A7" s="213">
        <v>1</v>
      </c>
      <c r="B7" s="502">
        <f>+B6*N7</f>
        <v>33.600000000000009</v>
      </c>
      <c r="C7" s="502">
        <f>+C6*N7</f>
        <v>50.400000000000006</v>
      </c>
      <c r="D7" s="502">
        <f>+N7*D6</f>
        <v>33.600000000000009</v>
      </c>
      <c r="E7" s="502"/>
      <c r="F7" s="502"/>
      <c r="G7" s="502"/>
      <c r="H7" s="502"/>
      <c r="I7" s="502"/>
      <c r="J7" s="502"/>
      <c r="K7" s="502">
        <f>+K6*N7</f>
        <v>8.4000000000000021</v>
      </c>
      <c r="L7" s="502">
        <f>+L6*N7</f>
        <v>25.200000000000003</v>
      </c>
      <c r="M7" s="502">
        <f>+M6*N7</f>
        <v>16.800000000000004</v>
      </c>
      <c r="N7" s="524">
        <f>+'PLAN-PROD.Y VENTAS'!E12</f>
        <v>168.00000000000003</v>
      </c>
      <c r="O7" s="503"/>
      <c r="P7" s="213">
        <v>1</v>
      </c>
      <c r="Q7" s="524">
        <f>+N7</f>
        <v>168.00000000000003</v>
      </c>
      <c r="R7" s="504">
        <f>+'PLAN-PROD.Y VENTAS'!E21</f>
        <v>683760</v>
      </c>
      <c r="S7" s="505">
        <f>+R7/6.5</f>
        <v>105193.84615384616</v>
      </c>
      <c r="U7" s="215"/>
    </row>
    <row r="8" spans="1:21" x14ac:dyDescent="0.25">
      <c r="A8" s="213">
        <v>2</v>
      </c>
      <c r="B8" s="502">
        <f>+N8*B6</f>
        <v>37.632000000000005</v>
      </c>
      <c r="C8" s="502">
        <f>+C6*N8</f>
        <v>56.448000000000008</v>
      </c>
      <c r="D8" s="502">
        <f>+D6*N8</f>
        <v>37.632000000000005</v>
      </c>
      <c r="E8" s="502"/>
      <c r="F8" s="502"/>
      <c r="G8" s="502"/>
      <c r="H8" s="502"/>
      <c r="I8" s="502"/>
      <c r="J8" s="502"/>
      <c r="K8" s="502">
        <f>+K6*N8</f>
        <v>9.4080000000000013</v>
      </c>
      <c r="L8" s="502">
        <f>+L6*N8</f>
        <v>28.224000000000004</v>
      </c>
      <c r="M8" s="502">
        <f>+M6*N8</f>
        <v>18.816000000000003</v>
      </c>
      <c r="N8" s="524">
        <f>+'PLAN-PROD.Y VENTAS'!F12</f>
        <v>188.16000000000003</v>
      </c>
      <c r="O8" s="503"/>
      <c r="P8" s="213">
        <v>2</v>
      </c>
      <c r="Q8" s="524">
        <f>+N8</f>
        <v>188.16000000000003</v>
      </c>
      <c r="R8" s="504">
        <f>+'PLAN-PROD.Y VENTAS'!F21</f>
        <v>765811.20000000019</v>
      </c>
      <c r="S8" s="505">
        <f t="shared" ref="S8:S11" si="0">+R8/6.5</f>
        <v>117817.10769230772</v>
      </c>
      <c r="U8" s="215"/>
    </row>
    <row r="9" spans="1:21" x14ac:dyDescent="0.25">
      <c r="A9" s="213">
        <v>3</v>
      </c>
      <c r="B9" s="502">
        <f>+N9*B6</f>
        <v>42.147840000000016</v>
      </c>
      <c r="C9" s="506">
        <f>+C6*N9</f>
        <v>63.221760000000017</v>
      </c>
      <c r="D9" s="506">
        <f>+D6*N9</f>
        <v>42.147840000000016</v>
      </c>
      <c r="E9" s="502"/>
      <c r="F9" s="502"/>
      <c r="G9" s="502"/>
      <c r="H9" s="502"/>
      <c r="I9" s="502"/>
      <c r="J9" s="502"/>
      <c r="K9" s="506">
        <f>+K6*N9</f>
        <v>10.536960000000004</v>
      </c>
      <c r="L9" s="506">
        <f>+L6*N9</f>
        <v>31.610880000000009</v>
      </c>
      <c r="M9" s="506">
        <f>+M6*N9</f>
        <v>21.073920000000008</v>
      </c>
      <c r="N9" s="524">
        <f>+'PLAN-PROD.Y VENTAS'!G12</f>
        <v>210.73920000000007</v>
      </c>
      <c r="O9" s="503"/>
      <c r="P9" s="213">
        <v>3</v>
      </c>
      <c r="Q9" s="524">
        <f>+N9</f>
        <v>210.73920000000007</v>
      </c>
      <c r="R9" s="504">
        <f>+'PLAN-PROD.Y VENTAS'!G21</f>
        <v>857708.54400000034</v>
      </c>
      <c r="S9" s="505">
        <f t="shared" si="0"/>
        <v>131955.16061538467</v>
      </c>
      <c r="U9" s="215"/>
    </row>
    <row r="10" spans="1:21" x14ac:dyDescent="0.25">
      <c r="A10" s="213">
        <v>4</v>
      </c>
      <c r="B10" s="507">
        <f>+B6*N10</f>
        <v>47.205580800000028</v>
      </c>
      <c r="C10" s="502">
        <f>+N10*C6</f>
        <v>70.808371200000039</v>
      </c>
      <c r="D10" s="506">
        <f>+D6*N10</f>
        <v>47.205580800000028</v>
      </c>
      <c r="E10" s="502"/>
      <c r="F10" s="502"/>
      <c r="G10" s="502"/>
      <c r="H10" s="502"/>
      <c r="I10" s="502"/>
      <c r="J10" s="502"/>
      <c r="K10" s="506">
        <f>+K6*N10</f>
        <v>11.801395200000007</v>
      </c>
      <c r="L10" s="506">
        <f>+L6*N10</f>
        <v>35.404185600000019</v>
      </c>
      <c r="M10" s="506">
        <f>+M6*N10</f>
        <v>23.602790400000014</v>
      </c>
      <c r="N10" s="524">
        <f>+'PLAN-PROD.Y VENTAS'!H12</f>
        <v>236.02790400000012</v>
      </c>
      <c r="O10" s="503"/>
      <c r="P10" s="213">
        <v>4</v>
      </c>
      <c r="Q10" s="524">
        <f>+N10</f>
        <v>236.02790400000012</v>
      </c>
      <c r="R10" s="504">
        <f>+'PLAN-PROD.Y VENTAS'!H21</f>
        <v>960633.56928000052</v>
      </c>
      <c r="S10" s="505">
        <f t="shared" si="0"/>
        <v>147789.77988923085</v>
      </c>
      <c r="U10" s="215"/>
    </row>
    <row r="11" spans="1:21" x14ac:dyDescent="0.25">
      <c r="A11" s="213">
        <v>5</v>
      </c>
      <c r="B11" s="506">
        <f>+B6*N11</f>
        <v>52.87025049600004</v>
      </c>
      <c r="C11" s="506">
        <f>+C6*N11</f>
        <v>79.30537574400006</v>
      </c>
      <c r="D11" s="506">
        <f>+D6*N11</f>
        <v>52.87025049600004</v>
      </c>
      <c r="E11" s="502"/>
      <c r="F11" s="502"/>
      <c r="G11" s="502"/>
      <c r="H11" s="502"/>
      <c r="I11" s="502"/>
      <c r="J11" s="502"/>
      <c r="K11" s="506">
        <f>+K6*N11</f>
        <v>13.21756262400001</v>
      </c>
      <c r="L11" s="506">
        <f>+L6*N11</f>
        <v>39.65268787200003</v>
      </c>
      <c r="M11" s="506">
        <f>+M6*N11</f>
        <v>26.43512524800002</v>
      </c>
      <c r="N11" s="524">
        <f>+'PLAN-PROD.Y VENTAS'!I12</f>
        <v>264.3512524800002</v>
      </c>
      <c r="O11" s="503"/>
      <c r="P11" s="213">
        <v>5</v>
      </c>
      <c r="Q11" s="524">
        <f>+N11</f>
        <v>264.3512524800002</v>
      </c>
      <c r="R11" s="504">
        <f>+'PLAN-PROD.Y VENTAS'!I21</f>
        <v>1075909.5975936009</v>
      </c>
      <c r="S11" s="505">
        <f t="shared" si="0"/>
        <v>165524.55347593859</v>
      </c>
      <c r="U11" s="215"/>
    </row>
    <row r="12" spans="1:21" ht="30.75" customHeight="1" x14ac:dyDescent="0.25">
      <c r="P12" s="748" t="s">
        <v>98</v>
      </c>
      <c r="Q12" s="748"/>
      <c r="R12" s="520">
        <f>SUM(R7:R11)</f>
        <v>4343822.9108736012</v>
      </c>
      <c r="S12" s="505"/>
    </row>
    <row r="13" spans="1:21" x14ac:dyDescent="0.25">
      <c r="K13" s="508"/>
      <c r="N13" s="509"/>
      <c r="O13" s="509"/>
      <c r="P13" s="509"/>
      <c r="Q13" s="747"/>
      <c r="R13" s="747"/>
    </row>
    <row r="14" spans="1:21" x14ac:dyDescent="0.25">
      <c r="K14" s="508"/>
      <c r="M14" s="222"/>
      <c r="N14" s="509"/>
      <c r="O14" s="509"/>
      <c r="P14" s="749" t="s">
        <v>28</v>
      </c>
      <c r="Q14" s="750" t="s">
        <v>10</v>
      </c>
      <c r="R14" s="750"/>
      <c r="S14" s="750"/>
      <c r="T14" s="750"/>
      <c r="U14" s="750"/>
    </row>
    <row r="15" spans="1:21" x14ac:dyDescent="0.25">
      <c r="K15" s="508"/>
      <c r="M15" s="222"/>
      <c r="N15" s="509"/>
      <c r="O15" s="509"/>
      <c r="P15" s="749"/>
      <c r="Q15" s="510">
        <v>1</v>
      </c>
      <c r="R15" s="510">
        <v>2</v>
      </c>
      <c r="S15" s="510">
        <v>3</v>
      </c>
      <c r="T15" s="510">
        <v>4</v>
      </c>
      <c r="U15" s="510">
        <v>5</v>
      </c>
    </row>
    <row r="16" spans="1:21" x14ac:dyDescent="0.25">
      <c r="K16" s="508"/>
      <c r="M16" s="222"/>
      <c r="N16" s="509"/>
      <c r="O16" s="509"/>
      <c r="P16" s="511" t="s">
        <v>205</v>
      </c>
      <c r="Q16" s="512">
        <f>+'PLAN-PROD.Y VENTAS'!E12</f>
        <v>168.00000000000003</v>
      </c>
      <c r="R16" s="512">
        <f>+'PLAN-PROD.Y VENTAS'!F12</f>
        <v>188.16000000000003</v>
      </c>
      <c r="S16" s="512">
        <f>+'PLAN-PROD.Y VENTAS'!G12</f>
        <v>210.73920000000007</v>
      </c>
      <c r="T16" s="512">
        <f>+'PLAN-PROD.Y VENTAS'!H12</f>
        <v>236.02790400000012</v>
      </c>
      <c r="U16" s="512">
        <f>+'PLAN-PROD.Y VENTAS'!I12</f>
        <v>264.3512524800002</v>
      </c>
    </row>
    <row r="17" spans="6:21" ht="15" customHeight="1" x14ac:dyDescent="0.25">
      <c r="F17" s="266"/>
      <c r="K17" s="508"/>
      <c r="M17" s="222"/>
      <c r="N17" s="509"/>
      <c r="O17" s="509"/>
      <c r="P17" s="511" t="s">
        <v>206</v>
      </c>
      <c r="Q17" s="225">
        <f>+'PLAN-PROD.Y VENTAS'!E23</f>
        <v>4069.9999999999991</v>
      </c>
      <c r="R17" s="225">
        <f>Q17*1.035</f>
        <v>4212.4499999999989</v>
      </c>
      <c r="S17" s="225">
        <f t="shared" ref="S17:U17" si="1">R17*1.035</f>
        <v>4359.8857499999986</v>
      </c>
      <c r="T17" s="225">
        <f t="shared" si="1"/>
        <v>4512.4817512499985</v>
      </c>
      <c r="U17" s="225">
        <f t="shared" si="1"/>
        <v>4670.4186125437482</v>
      </c>
    </row>
    <row r="18" spans="6:21" x14ac:dyDescent="0.25">
      <c r="F18" s="266"/>
      <c r="G18" s="266"/>
      <c r="M18" s="222"/>
      <c r="N18" s="513"/>
      <c r="O18" s="222"/>
      <c r="P18" s="510" t="s">
        <v>207</v>
      </c>
      <c r="Q18" s="521">
        <f>+Q16*Q17</f>
        <v>683760</v>
      </c>
      <c r="R18" s="521">
        <f t="shared" ref="R18:U18" si="2">+R16*R17</f>
        <v>792614.59199999995</v>
      </c>
      <c r="S18" s="521">
        <f t="shared" si="2"/>
        <v>918798.83504639997</v>
      </c>
      <c r="T18" s="521">
        <f t="shared" si="2"/>
        <v>1065071.6095857872</v>
      </c>
      <c r="U18" s="521">
        <f t="shared" si="2"/>
        <v>1234631.0098318446</v>
      </c>
    </row>
    <row r="19" spans="6:21" x14ac:dyDescent="0.25">
      <c r="F19" s="266"/>
      <c r="G19" s="266"/>
      <c r="M19" s="222"/>
      <c r="N19" s="513"/>
      <c r="O19" s="222"/>
      <c r="P19" s="514" t="s">
        <v>208</v>
      </c>
      <c r="Q19" s="515"/>
      <c r="R19" s="515"/>
      <c r="S19" s="515"/>
      <c r="T19" s="515"/>
      <c r="U19" s="515"/>
    </row>
    <row r="20" spans="6:21" x14ac:dyDescent="0.25">
      <c r="F20" s="266"/>
      <c r="G20" s="266"/>
      <c r="P20" s="522" t="s">
        <v>209</v>
      </c>
      <c r="Q20" s="523">
        <f>Q18/Q17</f>
        <v>168.00000000000003</v>
      </c>
      <c r="R20" s="523">
        <f>R18/R17</f>
        <v>188.16000000000003</v>
      </c>
      <c r="S20" s="523">
        <f>S18/S17</f>
        <v>210.73920000000007</v>
      </c>
      <c r="T20" s="523">
        <f>T18/T17</f>
        <v>236.02790400000015</v>
      </c>
      <c r="U20" s="523">
        <f>U18/U17</f>
        <v>264.3512524800002</v>
      </c>
    </row>
    <row r="21" spans="6:21" ht="12" thickBot="1" x14ac:dyDescent="0.3">
      <c r="F21" s="266"/>
      <c r="G21" s="266"/>
      <c r="S21" s="215"/>
    </row>
    <row r="22" spans="6:21" ht="12" thickBot="1" x14ac:dyDescent="0.3">
      <c r="P22" s="746" t="s">
        <v>334</v>
      </c>
      <c r="Q22" s="746"/>
      <c r="R22" s="746"/>
      <c r="S22" s="746"/>
      <c r="T22" s="746"/>
      <c r="U22" s="746"/>
    </row>
    <row r="23" spans="6:21" ht="12" thickBot="1" x14ac:dyDescent="0.3">
      <c r="P23" s="746"/>
      <c r="Q23" s="746"/>
      <c r="R23" s="746"/>
      <c r="S23" s="746"/>
      <c r="T23" s="746"/>
      <c r="U23" s="746"/>
    </row>
    <row r="24" spans="6:21" ht="12" thickBot="1" x14ac:dyDescent="0.3">
      <c r="P24" s="746"/>
      <c r="Q24" s="746"/>
      <c r="R24" s="746"/>
      <c r="S24" s="746"/>
      <c r="T24" s="746"/>
      <c r="U24" s="746"/>
    </row>
  </sheetData>
  <mergeCells count="14">
    <mergeCell ref="A2:N2"/>
    <mergeCell ref="P2:S2"/>
    <mergeCell ref="A4:A5"/>
    <mergeCell ref="B4:M4"/>
    <mergeCell ref="N4:N5"/>
    <mergeCell ref="P4:P5"/>
    <mergeCell ref="Q4:Q5"/>
    <mergeCell ref="R4:R5"/>
    <mergeCell ref="S4:S5"/>
    <mergeCell ref="P22:U24"/>
    <mergeCell ref="Q13:R13"/>
    <mergeCell ref="P12:Q12"/>
    <mergeCell ref="P14:P15"/>
    <mergeCell ref="Q14:U14"/>
  </mergeCells>
  <pageMargins left="0.75" right="0.75" top="1" bottom="1" header="0" footer="0"/>
  <pageSetup paperSize="9" scale="4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V72"/>
  <sheetViews>
    <sheetView workbookViewId="0">
      <selection activeCell="B6" sqref="B6"/>
    </sheetView>
  </sheetViews>
  <sheetFormatPr baseColWidth="10" defaultRowHeight="12.75" x14ac:dyDescent="0.25"/>
  <cols>
    <col min="1" max="1" width="2.85546875" style="280" customWidth="1"/>
    <col min="2" max="2" width="49.140625" style="280" customWidth="1"/>
    <col min="3" max="3" width="18.42578125" style="280" customWidth="1"/>
    <col min="4" max="4" width="2.7109375" style="280" customWidth="1"/>
    <col min="5" max="256" width="11.42578125" style="280"/>
    <col min="257" max="257" width="2.85546875" style="280" customWidth="1"/>
    <col min="258" max="258" width="40.7109375" style="280" customWidth="1"/>
    <col min="259" max="259" width="14.85546875" style="280" customWidth="1"/>
    <col min="260" max="260" width="2.7109375" style="280" customWidth="1"/>
    <col min="261" max="512" width="11.42578125" style="280"/>
    <col min="513" max="513" width="2.85546875" style="280" customWidth="1"/>
    <col min="514" max="514" width="40.7109375" style="280" customWidth="1"/>
    <col min="515" max="515" width="14.85546875" style="280" customWidth="1"/>
    <col min="516" max="516" width="2.7109375" style="280" customWidth="1"/>
    <col min="517" max="768" width="11.42578125" style="280"/>
    <col min="769" max="769" width="2.85546875" style="280" customWidth="1"/>
    <col min="770" max="770" width="40.7109375" style="280" customWidth="1"/>
    <col min="771" max="771" width="14.85546875" style="280" customWidth="1"/>
    <col min="772" max="772" width="2.7109375" style="280" customWidth="1"/>
    <col min="773" max="1024" width="11.42578125" style="280"/>
    <col min="1025" max="1025" width="2.85546875" style="280" customWidth="1"/>
    <col min="1026" max="1026" width="40.7109375" style="280" customWidth="1"/>
    <col min="1027" max="1027" width="14.85546875" style="280" customWidth="1"/>
    <col min="1028" max="1028" width="2.7109375" style="280" customWidth="1"/>
    <col min="1029" max="1280" width="11.42578125" style="280"/>
    <col min="1281" max="1281" width="2.85546875" style="280" customWidth="1"/>
    <col min="1282" max="1282" width="40.7109375" style="280" customWidth="1"/>
    <col min="1283" max="1283" width="14.85546875" style="280" customWidth="1"/>
    <col min="1284" max="1284" width="2.7109375" style="280" customWidth="1"/>
    <col min="1285" max="1536" width="11.42578125" style="280"/>
    <col min="1537" max="1537" width="2.85546875" style="280" customWidth="1"/>
    <col min="1538" max="1538" width="40.7109375" style="280" customWidth="1"/>
    <col min="1539" max="1539" width="14.85546875" style="280" customWidth="1"/>
    <col min="1540" max="1540" width="2.7109375" style="280" customWidth="1"/>
    <col min="1541" max="1792" width="11.42578125" style="280"/>
    <col min="1793" max="1793" width="2.85546875" style="280" customWidth="1"/>
    <col min="1794" max="1794" width="40.7109375" style="280" customWidth="1"/>
    <col min="1795" max="1795" width="14.85546875" style="280" customWidth="1"/>
    <col min="1796" max="1796" width="2.7109375" style="280" customWidth="1"/>
    <col min="1797" max="2048" width="11.42578125" style="280"/>
    <col min="2049" max="2049" width="2.85546875" style="280" customWidth="1"/>
    <col min="2050" max="2050" width="40.7109375" style="280" customWidth="1"/>
    <col min="2051" max="2051" width="14.85546875" style="280" customWidth="1"/>
    <col min="2052" max="2052" width="2.7109375" style="280" customWidth="1"/>
    <col min="2053" max="2304" width="11.42578125" style="280"/>
    <col min="2305" max="2305" width="2.85546875" style="280" customWidth="1"/>
    <col min="2306" max="2306" width="40.7109375" style="280" customWidth="1"/>
    <col min="2307" max="2307" width="14.85546875" style="280" customWidth="1"/>
    <col min="2308" max="2308" width="2.7109375" style="280" customWidth="1"/>
    <col min="2309" max="2560" width="11.42578125" style="280"/>
    <col min="2561" max="2561" width="2.85546875" style="280" customWidth="1"/>
    <col min="2562" max="2562" width="40.7109375" style="280" customWidth="1"/>
    <col min="2563" max="2563" width="14.85546875" style="280" customWidth="1"/>
    <col min="2564" max="2564" width="2.7109375" style="280" customWidth="1"/>
    <col min="2565" max="2816" width="11.42578125" style="280"/>
    <col min="2817" max="2817" width="2.85546875" style="280" customWidth="1"/>
    <col min="2818" max="2818" width="40.7109375" style="280" customWidth="1"/>
    <col min="2819" max="2819" width="14.85546875" style="280" customWidth="1"/>
    <col min="2820" max="2820" width="2.7109375" style="280" customWidth="1"/>
    <col min="2821" max="3072" width="11.42578125" style="280"/>
    <col min="3073" max="3073" width="2.85546875" style="280" customWidth="1"/>
    <col min="3074" max="3074" width="40.7109375" style="280" customWidth="1"/>
    <col min="3075" max="3075" width="14.85546875" style="280" customWidth="1"/>
    <col min="3076" max="3076" width="2.7109375" style="280" customWidth="1"/>
    <col min="3077" max="3328" width="11.42578125" style="280"/>
    <col min="3329" max="3329" width="2.85546875" style="280" customWidth="1"/>
    <col min="3330" max="3330" width="40.7109375" style="280" customWidth="1"/>
    <col min="3331" max="3331" width="14.85546875" style="280" customWidth="1"/>
    <col min="3332" max="3332" width="2.7109375" style="280" customWidth="1"/>
    <col min="3333" max="3584" width="11.42578125" style="280"/>
    <col min="3585" max="3585" width="2.85546875" style="280" customWidth="1"/>
    <col min="3586" max="3586" width="40.7109375" style="280" customWidth="1"/>
    <col min="3587" max="3587" width="14.85546875" style="280" customWidth="1"/>
    <col min="3588" max="3588" width="2.7109375" style="280" customWidth="1"/>
    <col min="3589" max="3840" width="11.42578125" style="280"/>
    <col min="3841" max="3841" width="2.85546875" style="280" customWidth="1"/>
    <col min="3842" max="3842" width="40.7109375" style="280" customWidth="1"/>
    <col min="3843" max="3843" width="14.85546875" style="280" customWidth="1"/>
    <col min="3844" max="3844" width="2.7109375" style="280" customWidth="1"/>
    <col min="3845" max="4096" width="11.42578125" style="280"/>
    <col min="4097" max="4097" width="2.85546875" style="280" customWidth="1"/>
    <col min="4098" max="4098" width="40.7109375" style="280" customWidth="1"/>
    <col min="4099" max="4099" width="14.85546875" style="280" customWidth="1"/>
    <col min="4100" max="4100" width="2.7109375" style="280" customWidth="1"/>
    <col min="4101" max="4352" width="11.42578125" style="280"/>
    <col min="4353" max="4353" width="2.85546875" style="280" customWidth="1"/>
    <col min="4354" max="4354" width="40.7109375" style="280" customWidth="1"/>
    <col min="4355" max="4355" width="14.85546875" style="280" customWidth="1"/>
    <col min="4356" max="4356" width="2.7109375" style="280" customWidth="1"/>
    <col min="4357" max="4608" width="11.42578125" style="280"/>
    <col min="4609" max="4609" width="2.85546875" style="280" customWidth="1"/>
    <col min="4610" max="4610" width="40.7109375" style="280" customWidth="1"/>
    <col min="4611" max="4611" width="14.85546875" style="280" customWidth="1"/>
    <col min="4612" max="4612" width="2.7109375" style="280" customWidth="1"/>
    <col min="4613" max="4864" width="11.42578125" style="280"/>
    <col min="4865" max="4865" width="2.85546875" style="280" customWidth="1"/>
    <col min="4866" max="4866" width="40.7109375" style="280" customWidth="1"/>
    <col min="4867" max="4867" width="14.85546875" style="280" customWidth="1"/>
    <col min="4868" max="4868" width="2.7109375" style="280" customWidth="1"/>
    <col min="4869" max="5120" width="11.42578125" style="280"/>
    <col min="5121" max="5121" width="2.85546875" style="280" customWidth="1"/>
    <col min="5122" max="5122" width="40.7109375" style="280" customWidth="1"/>
    <col min="5123" max="5123" width="14.85546875" style="280" customWidth="1"/>
    <col min="5124" max="5124" width="2.7109375" style="280" customWidth="1"/>
    <col min="5125" max="5376" width="11.42578125" style="280"/>
    <col min="5377" max="5377" width="2.85546875" style="280" customWidth="1"/>
    <col min="5378" max="5378" width="40.7109375" style="280" customWidth="1"/>
    <col min="5379" max="5379" width="14.85546875" style="280" customWidth="1"/>
    <col min="5380" max="5380" width="2.7109375" style="280" customWidth="1"/>
    <col min="5381" max="5632" width="11.42578125" style="280"/>
    <col min="5633" max="5633" width="2.85546875" style="280" customWidth="1"/>
    <col min="5634" max="5634" width="40.7109375" style="280" customWidth="1"/>
    <col min="5635" max="5635" width="14.85546875" style="280" customWidth="1"/>
    <col min="5636" max="5636" width="2.7109375" style="280" customWidth="1"/>
    <col min="5637" max="5888" width="11.42578125" style="280"/>
    <col min="5889" max="5889" width="2.85546875" style="280" customWidth="1"/>
    <col min="5890" max="5890" width="40.7109375" style="280" customWidth="1"/>
    <col min="5891" max="5891" width="14.85546875" style="280" customWidth="1"/>
    <col min="5892" max="5892" width="2.7109375" style="280" customWidth="1"/>
    <col min="5893" max="6144" width="11.42578125" style="280"/>
    <col min="6145" max="6145" width="2.85546875" style="280" customWidth="1"/>
    <col min="6146" max="6146" width="40.7109375" style="280" customWidth="1"/>
    <col min="6147" max="6147" width="14.85546875" style="280" customWidth="1"/>
    <col min="6148" max="6148" width="2.7109375" style="280" customWidth="1"/>
    <col min="6149" max="6400" width="11.42578125" style="280"/>
    <col min="6401" max="6401" width="2.85546875" style="280" customWidth="1"/>
    <col min="6402" max="6402" width="40.7109375" style="280" customWidth="1"/>
    <col min="6403" max="6403" width="14.85546875" style="280" customWidth="1"/>
    <col min="6404" max="6404" width="2.7109375" style="280" customWidth="1"/>
    <col min="6405" max="6656" width="11.42578125" style="280"/>
    <col min="6657" max="6657" width="2.85546875" style="280" customWidth="1"/>
    <col min="6658" max="6658" width="40.7109375" style="280" customWidth="1"/>
    <col min="6659" max="6659" width="14.85546875" style="280" customWidth="1"/>
    <col min="6660" max="6660" width="2.7109375" style="280" customWidth="1"/>
    <col min="6661" max="6912" width="11.42578125" style="280"/>
    <col min="6913" max="6913" width="2.85546875" style="280" customWidth="1"/>
    <col min="6914" max="6914" width="40.7109375" style="280" customWidth="1"/>
    <col min="6915" max="6915" width="14.85546875" style="280" customWidth="1"/>
    <col min="6916" max="6916" width="2.7109375" style="280" customWidth="1"/>
    <col min="6917" max="7168" width="11.42578125" style="280"/>
    <col min="7169" max="7169" width="2.85546875" style="280" customWidth="1"/>
    <col min="7170" max="7170" width="40.7109375" style="280" customWidth="1"/>
    <col min="7171" max="7171" width="14.85546875" style="280" customWidth="1"/>
    <col min="7172" max="7172" width="2.7109375" style="280" customWidth="1"/>
    <col min="7173" max="7424" width="11.42578125" style="280"/>
    <col min="7425" max="7425" width="2.85546875" style="280" customWidth="1"/>
    <col min="7426" max="7426" width="40.7109375" style="280" customWidth="1"/>
    <col min="7427" max="7427" width="14.85546875" style="280" customWidth="1"/>
    <col min="7428" max="7428" width="2.7109375" style="280" customWidth="1"/>
    <col min="7429" max="7680" width="11.42578125" style="280"/>
    <col min="7681" max="7681" width="2.85546875" style="280" customWidth="1"/>
    <col min="7682" max="7682" width="40.7109375" style="280" customWidth="1"/>
    <col min="7683" max="7683" width="14.85546875" style="280" customWidth="1"/>
    <col min="7684" max="7684" width="2.7109375" style="280" customWidth="1"/>
    <col min="7685" max="7936" width="11.42578125" style="280"/>
    <col min="7937" max="7937" width="2.85546875" style="280" customWidth="1"/>
    <col min="7938" max="7938" width="40.7109375" style="280" customWidth="1"/>
    <col min="7939" max="7939" width="14.85546875" style="280" customWidth="1"/>
    <col min="7940" max="7940" width="2.7109375" style="280" customWidth="1"/>
    <col min="7941" max="8192" width="11.42578125" style="280"/>
    <col min="8193" max="8193" width="2.85546875" style="280" customWidth="1"/>
    <col min="8194" max="8194" width="40.7109375" style="280" customWidth="1"/>
    <col min="8195" max="8195" width="14.85546875" style="280" customWidth="1"/>
    <col min="8196" max="8196" width="2.7109375" style="280" customWidth="1"/>
    <col min="8197" max="8448" width="11.42578125" style="280"/>
    <col min="8449" max="8449" width="2.85546875" style="280" customWidth="1"/>
    <col min="8450" max="8450" width="40.7109375" style="280" customWidth="1"/>
    <col min="8451" max="8451" width="14.85546875" style="280" customWidth="1"/>
    <col min="8452" max="8452" width="2.7109375" style="280" customWidth="1"/>
    <col min="8453" max="8704" width="11.42578125" style="280"/>
    <col min="8705" max="8705" width="2.85546875" style="280" customWidth="1"/>
    <col min="8706" max="8706" width="40.7109375" style="280" customWidth="1"/>
    <col min="8707" max="8707" width="14.85546875" style="280" customWidth="1"/>
    <col min="8708" max="8708" width="2.7109375" style="280" customWidth="1"/>
    <col min="8709" max="8960" width="11.42578125" style="280"/>
    <col min="8961" max="8961" width="2.85546875" style="280" customWidth="1"/>
    <col min="8962" max="8962" width="40.7109375" style="280" customWidth="1"/>
    <col min="8963" max="8963" width="14.85546875" style="280" customWidth="1"/>
    <col min="8964" max="8964" width="2.7109375" style="280" customWidth="1"/>
    <col min="8965" max="9216" width="11.42578125" style="280"/>
    <col min="9217" max="9217" width="2.85546875" style="280" customWidth="1"/>
    <col min="9218" max="9218" width="40.7109375" style="280" customWidth="1"/>
    <col min="9219" max="9219" width="14.85546875" style="280" customWidth="1"/>
    <col min="9220" max="9220" width="2.7109375" style="280" customWidth="1"/>
    <col min="9221" max="9472" width="11.42578125" style="280"/>
    <col min="9473" max="9473" width="2.85546875" style="280" customWidth="1"/>
    <col min="9474" max="9474" width="40.7109375" style="280" customWidth="1"/>
    <col min="9475" max="9475" width="14.85546875" style="280" customWidth="1"/>
    <col min="9476" max="9476" width="2.7109375" style="280" customWidth="1"/>
    <col min="9477" max="9728" width="11.42578125" style="280"/>
    <col min="9729" max="9729" width="2.85546875" style="280" customWidth="1"/>
    <col min="9730" max="9730" width="40.7109375" style="280" customWidth="1"/>
    <col min="9731" max="9731" width="14.85546875" style="280" customWidth="1"/>
    <col min="9732" max="9732" width="2.7109375" style="280" customWidth="1"/>
    <col min="9733" max="9984" width="11.42578125" style="280"/>
    <col min="9985" max="9985" width="2.85546875" style="280" customWidth="1"/>
    <col min="9986" max="9986" width="40.7109375" style="280" customWidth="1"/>
    <col min="9987" max="9987" width="14.85546875" style="280" customWidth="1"/>
    <col min="9988" max="9988" width="2.7109375" style="280" customWidth="1"/>
    <col min="9989" max="10240" width="11.42578125" style="280"/>
    <col min="10241" max="10241" width="2.85546875" style="280" customWidth="1"/>
    <col min="10242" max="10242" width="40.7109375" style="280" customWidth="1"/>
    <col min="10243" max="10243" width="14.85546875" style="280" customWidth="1"/>
    <col min="10244" max="10244" width="2.7109375" style="280" customWidth="1"/>
    <col min="10245" max="10496" width="11.42578125" style="280"/>
    <col min="10497" max="10497" width="2.85546875" style="280" customWidth="1"/>
    <col min="10498" max="10498" width="40.7109375" style="280" customWidth="1"/>
    <col min="10499" max="10499" width="14.85546875" style="280" customWidth="1"/>
    <col min="10500" max="10500" width="2.7109375" style="280" customWidth="1"/>
    <col min="10501" max="10752" width="11.42578125" style="280"/>
    <col min="10753" max="10753" width="2.85546875" style="280" customWidth="1"/>
    <col min="10754" max="10754" width="40.7109375" style="280" customWidth="1"/>
    <col min="10755" max="10755" width="14.85546875" style="280" customWidth="1"/>
    <col min="10756" max="10756" width="2.7109375" style="280" customWidth="1"/>
    <col min="10757" max="11008" width="11.42578125" style="280"/>
    <col min="11009" max="11009" width="2.85546875" style="280" customWidth="1"/>
    <col min="11010" max="11010" width="40.7109375" style="280" customWidth="1"/>
    <col min="11011" max="11011" width="14.85546875" style="280" customWidth="1"/>
    <col min="11012" max="11012" width="2.7109375" style="280" customWidth="1"/>
    <col min="11013" max="11264" width="11.42578125" style="280"/>
    <col min="11265" max="11265" width="2.85546875" style="280" customWidth="1"/>
    <col min="11266" max="11266" width="40.7109375" style="280" customWidth="1"/>
    <col min="11267" max="11267" width="14.85546875" style="280" customWidth="1"/>
    <col min="11268" max="11268" width="2.7109375" style="280" customWidth="1"/>
    <col min="11269" max="11520" width="11.42578125" style="280"/>
    <col min="11521" max="11521" width="2.85546875" style="280" customWidth="1"/>
    <col min="11522" max="11522" width="40.7109375" style="280" customWidth="1"/>
    <col min="11523" max="11523" width="14.85546875" style="280" customWidth="1"/>
    <col min="11524" max="11524" width="2.7109375" style="280" customWidth="1"/>
    <col min="11525" max="11776" width="11.42578125" style="280"/>
    <col min="11777" max="11777" width="2.85546875" style="280" customWidth="1"/>
    <col min="11778" max="11778" width="40.7109375" style="280" customWidth="1"/>
    <col min="11779" max="11779" width="14.85546875" style="280" customWidth="1"/>
    <col min="11780" max="11780" width="2.7109375" style="280" customWidth="1"/>
    <col min="11781" max="12032" width="11.42578125" style="280"/>
    <col min="12033" max="12033" width="2.85546875" style="280" customWidth="1"/>
    <col min="12034" max="12034" width="40.7109375" style="280" customWidth="1"/>
    <col min="12035" max="12035" width="14.85546875" style="280" customWidth="1"/>
    <col min="12036" max="12036" width="2.7109375" style="280" customWidth="1"/>
    <col min="12037" max="12288" width="11.42578125" style="280"/>
    <col min="12289" max="12289" width="2.85546875" style="280" customWidth="1"/>
    <col min="12290" max="12290" width="40.7109375" style="280" customWidth="1"/>
    <col min="12291" max="12291" width="14.85546875" style="280" customWidth="1"/>
    <col min="12292" max="12292" width="2.7109375" style="280" customWidth="1"/>
    <col min="12293" max="12544" width="11.42578125" style="280"/>
    <col min="12545" max="12545" width="2.85546875" style="280" customWidth="1"/>
    <col min="12546" max="12546" width="40.7109375" style="280" customWidth="1"/>
    <col min="12547" max="12547" width="14.85546875" style="280" customWidth="1"/>
    <col min="12548" max="12548" width="2.7109375" style="280" customWidth="1"/>
    <col min="12549" max="12800" width="11.42578125" style="280"/>
    <col min="12801" max="12801" width="2.85546875" style="280" customWidth="1"/>
    <col min="12802" max="12802" width="40.7109375" style="280" customWidth="1"/>
    <col min="12803" max="12803" width="14.85546875" style="280" customWidth="1"/>
    <col min="12804" max="12804" width="2.7109375" style="280" customWidth="1"/>
    <col min="12805" max="13056" width="11.42578125" style="280"/>
    <col min="13057" max="13057" width="2.85546875" style="280" customWidth="1"/>
    <col min="13058" max="13058" width="40.7109375" style="280" customWidth="1"/>
    <col min="13059" max="13059" width="14.85546875" style="280" customWidth="1"/>
    <col min="13060" max="13060" width="2.7109375" style="280" customWidth="1"/>
    <col min="13061" max="13312" width="11.42578125" style="280"/>
    <col min="13313" max="13313" width="2.85546875" style="280" customWidth="1"/>
    <col min="13314" max="13314" width="40.7109375" style="280" customWidth="1"/>
    <col min="13315" max="13315" width="14.85546875" style="280" customWidth="1"/>
    <col min="13316" max="13316" width="2.7109375" style="280" customWidth="1"/>
    <col min="13317" max="13568" width="11.42578125" style="280"/>
    <col min="13569" max="13569" width="2.85546875" style="280" customWidth="1"/>
    <col min="13570" max="13570" width="40.7109375" style="280" customWidth="1"/>
    <col min="13571" max="13571" width="14.85546875" style="280" customWidth="1"/>
    <col min="13572" max="13572" width="2.7109375" style="280" customWidth="1"/>
    <col min="13573" max="13824" width="11.42578125" style="280"/>
    <col min="13825" max="13825" width="2.85546875" style="280" customWidth="1"/>
    <col min="13826" max="13826" width="40.7109375" style="280" customWidth="1"/>
    <col min="13827" max="13827" width="14.85546875" style="280" customWidth="1"/>
    <col min="13828" max="13828" width="2.7109375" style="280" customWidth="1"/>
    <col min="13829" max="14080" width="11.42578125" style="280"/>
    <col min="14081" max="14081" width="2.85546875" style="280" customWidth="1"/>
    <col min="14082" max="14082" width="40.7109375" style="280" customWidth="1"/>
    <col min="14083" max="14083" width="14.85546875" style="280" customWidth="1"/>
    <col min="14084" max="14084" width="2.7109375" style="280" customWidth="1"/>
    <col min="14085" max="14336" width="11.42578125" style="280"/>
    <col min="14337" max="14337" width="2.85546875" style="280" customWidth="1"/>
    <col min="14338" max="14338" width="40.7109375" style="280" customWidth="1"/>
    <col min="14339" max="14339" width="14.85546875" style="280" customWidth="1"/>
    <col min="14340" max="14340" width="2.7109375" style="280" customWidth="1"/>
    <col min="14341" max="14592" width="11.42578125" style="280"/>
    <col min="14593" max="14593" width="2.85546875" style="280" customWidth="1"/>
    <col min="14594" max="14594" width="40.7109375" style="280" customWidth="1"/>
    <col min="14595" max="14595" width="14.85546875" style="280" customWidth="1"/>
    <col min="14596" max="14596" width="2.7109375" style="280" customWidth="1"/>
    <col min="14597" max="14848" width="11.42578125" style="280"/>
    <col min="14849" max="14849" width="2.85546875" style="280" customWidth="1"/>
    <col min="14850" max="14850" width="40.7109375" style="280" customWidth="1"/>
    <col min="14851" max="14851" width="14.85546875" style="280" customWidth="1"/>
    <col min="14852" max="14852" width="2.7109375" style="280" customWidth="1"/>
    <col min="14853" max="15104" width="11.42578125" style="280"/>
    <col min="15105" max="15105" width="2.85546875" style="280" customWidth="1"/>
    <col min="15106" max="15106" width="40.7109375" style="280" customWidth="1"/>
    <col min="15107" max="15107" width="14.85546875" style="280" customWidth="1"/>
    <col min="15108" max="15108" width="2.7109375" style="280" customWidth="1"/>
    <col min="15109" max="15360" width="11.42578125" style="280"/>
    <col min="15361" max="15361" width="2.85546875" style="280" customWidth="1"/>
    <col min="15362" max="15362" width="40.7109375" style="280" customWidth="1"/>
    <col min="15363" max="15363" width="14.85546875" style="280" customWidth="1"/>
    <col min="15364" max="15364" width="2.7109375" style="280" customWidth="1"/>
    <col min="15365" max="15616" width="11.42578125" style="280"/>
    <col min="15617" max="15617" width="2.85546875" style="280" customWidth="1"/>
    <col min="15618" max="15618" width="40.7109375" style="280" customWidth="1"/>
    <col min="15619" max="15619" width="14.85546875" style="280" customWidth="1"/>
    <col min="15620" max="15620" width="2.7109375" style="280" customWidth="1"/>
    <col min="15621" max="15872" width="11.42578125" style="280"/>
    <col min="15873" max="15873" width="2.85546875" style="280" customWidth="1"/>
    <col min="15874" max="15874" width="40.7109375" style="280" customWidth="1"/>
    <col min="15875" max="15875" width="14.85546875" style="280" customWidth="1"/>
    <col min="15876" max="15876" width="2.7109375" style="280" customWidth="1"/>
    <col min="15877" max="16128" width="11.42578125" style="280"/>
    <col min="16129" max="16129" width="2.85546875" style="280" customWidth="1"/>
    <col min="16130" max="16130" width="40.7109375" style="280" customWidth="1"/>
    <col min="16131" max="16131" width="14.85546875" style="280" customWidth="1"/>
    <col min="16132" max="16132" width="2.7109375" style="280" customWidth="1"/>
    <col min="16133" max="16384" width="11.42578125" style="280"/>
  </cols>
  <sheetData>
    <row r="1" spans="1:256" x14ac:dyDescent="0.25">
      <c r="B1" s="755" t="s">
        <v>108</v>
      </c>
      <c r="C1" s="755"/>
    </row>
    <row r="2" spans="1:256" ht="25.5" x14ac:dyDescent="0.25">
      <c r="A2" s="281"/>
      <c r="B2" s="282" t="s">
        <v>28</v>
      </c>
      <c r="C2" s="282" t="s">
        <v>109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1"/>
      <c r="DW2" s="281"/>
      <c r="DX2" s="281"/>
      <c r="DY2" s="281"/>
      <c r="DZ2" s="281"/>
      <c r="EA2" s="281"/>
      <c r="EB2" s="281"/>
      <c r="EC2" s="281"/>
      <c r="ED2" s="281"/>
      <c r="EE2" s="281"/>
      <c r="EF2" s="281"/>
      <c r="EG2" s="281"/>
      <c r="EH2" s="281"/>
      <c r="EI2" s="281"/>
      <c r="EJ2" s="281"/>
      <c r="EK2" s="281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1"/>
      <c r="EW2" s="281"/>
      <c r="EX2" s="281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1"/>
      <c r="FJ2" s="281"/>
      <c r="FK2" s="281"/>
      <c r="FL2" s="281"/>
      <c r="FM2" s="281"/>
      <c r="FN2" s="281"/>
      <c r="FO2" s="281"/>
      <c r="FP2" s="281"/>
      <c r="FQ2" s="281"/>
      <c r="FR2" s="281"/>
      <c r="FS2" s="281"/>
      <c r="FT2" s="281"/>
      <c r="FU2" s="281"/>
      <c r="FV2" s="281"/>
      <c r="FW2" s="281"/>
      <c r="FX2" s="281"/>
      <c r="FY2" s="281"/>
      <c r="FZ2" s="281"/>
      <c r="GA2" s="281"/>
      <c r="GB2" s="281"/>
      <c r="GC2" s="281"/>
      <c r="GD2" s="281"/>
      <c r="GE2" s="281"/>
      <c r="GF2" s="281"/>
      <c r="GG2" s="281"/>
      <c r="GH2" s="281"/>
      <c r="GI2" s="281"/>
      <c r="GJ2" s="281"/>
      <c r="GK2" s="281"/>
      <c r="GL2" s="281"/>
      <c r="GM2" s="281"/>
      <c r="GN2" s="281"/>
      <c r="GO2" s="281"/>
      <c r="GP2" s="281"/>
      <c r="GQ2" s="281"/>
      <c r="GR2" s="281"/>
      <c r="GS2" s="281"/>
      <c r="GT2" s="281"/>
      <c r="GU2" s="281"/>
      <c r="GV2" s="281"/>
      <c r="GW2" s="281"/>
      <c r="GX2" s="281"/>
      <c r="GY2" s="281"/>
      <c r="GZ2" s="281"/>
      <c r="HA2" s="281"/>
      <c r="HB2" s="281"/>
      <c r="HC2" s="281"/>
      <c r="HD2" s="281"/>
      <c r="HE2" s="281"/>
      <c r="HF2" s="281"/>
      <c r="HG2" s="281"/>
      <c r="HH2" s="281"/>
      <c r="HI2" s="281"/>
      <c r="HJ2" s="281"/>
      <c r="HK2" s="281"/>
      <c r="HL2" s="281"/>
      <c r="HM2" s="281"/>
      <c r="HN2" s="281"/>
      <c r="HO2" s="281"/>
      <c r="HP2" s="281"/>
      <c r="HQ2" s="281"/>
      <c r="HR2" s="281"/>
      <c r="HS2" s="281"/>
      <c r="HT2" s="281"/>
      <c r="HU2" s="281"/>
      <c r="HV2" s="281"/>
      <c r="HW2" s="281"/>
      <c r="HX2" s="281"/>
      <c r="HY2" s="281"/>
      <c r="HZ2" s="281"/>
      <c r="IA2" s="281"/>
      <c r="IB2" s="281"/>
      <c r="IC2" s="281"/>
      <c r="ID2" s="281"/>
      <c r="IE2" s="281"/>
      <c r="IF2" s="281"/>
      <c r="IG2" s="281"/>
      <c r="IH2" s="281"/>
      <c r="II2" s="281"/>
      <c r="IJ2" s="281"/>
      <c r="IK2" s="281"/>
      <c r="IL2" s="281"/>
      <c r="IM2" s="281"/>
      <c r="IN2" s="281"/>
      <c r="IO2" s="281"/>
      <c r="IP2" s="281"/>
      <c r="IQ2" s="281"/>
      <c r="IR2" s="281"/>
      <c r="IS2" s="281"/>
      <c r="IT2" s="281"/>
      <c r="IU2" s="281"/>
      <c r="IV2" s="281"/>
    </row>
    <row r="3" spans="1:256" x14ac:dyDescent="0.25">
      <c r="B3" s="283" t="s">
        <v>105</v>
      </c>
      <c r="C3" s="284">
        <f>+C9+C4</f>
        <v>179961.869875</v>
      </c>
    </row>
    <row r="4" spans="1:256" x14ac:dyDescent="0.25">
      <c r="B4" s="283" t="s">
        <v>104</v>
      </c>
      <c r="C4" s="284">
        <f>+C5+C6+C7+C8</f>
        <v>173211.869875</v>
      </c>
    </row>
    <row r="5" spans="1:256" x14ac:dyDescent="0.25">
      <c r="B5" s="285" t="s">
        <v>351</v>
      </c>
      <c r="C5" s="286">
        <f>+'TERREN e INFR'!F8</f>
        <v>152211.869875</v>
      </c>
    </row>
    <row r="6" spans="1:256" x14ac:dyDescent="0.25">
      <c r="B6" s="285" t="s">
        <v>250</v>
      </c>
      <c r="C6" s="286">
        <f>+'MAQ y EQUIP'!E5</f>
        <v>17750</v>
      </c>
    </row>
    <row r="7" spans="1:256" x14ac:dyDescent="0.25">
      <c r="B7" s="285" t="s">
        <v>251</v>
      </c>
      <c r="C7" s="286">
        <f>+'MAQ y EQUIP'!E8</f>
        <v>3250</v>
      </c>
    </row>
    <row r="8" spans="1:256" x14ac:dyDescent="0.25">
      <c r="B8" s="285" t="s">
        <v>252</v>
      </c>
      <c r="C8" s="286">
        <v>0</v>
      </c>
    </row>
    <row r="9" spans="1:256" x14ac:dyDescent="0.25">
      <c r="B9" s="283" t="s">
        <v>103</v>
      </c>
      <c r="C9" s="284">
        <f>+'INVERS FIJ INTANG'!G4</f>
        <v>6750</v>
      </c>
    </row>
    <row r="10" spans="1:256" x14ac:dyDescent="0.25">
      <c r="B10" s="283" t="s">
        <v>100</v>
      </c>
      <c r="C10" s="284">
        <f>+'CAP TRABAJ'!B48</f>
        <v>18865.729166666664</v>
      </c>
    </row>
    <row r="11" spans="1:256" x14ac:dyDescent="0.25">
      <c r="B11" s="283" t="s">
        <v>335</v>
      </c>
      <c r="C11" s="284">
        <f>+C3*0.05</f>
        <v>8998.0934937500006</v>
      </c>
    </row>
    <row r="12" spans="1:256" x14ac:dyDescent="0.25">
      <c r="B12" s="283" t="s">
        <v>336</v>
      </c>
      <c r="C12" s="284">
        <f>+C3*0.03</f>
        <v>5398.8560962499996</v>
      </c>
    </row>
    <row r="13" spans="1:256" x14ac:dyDescent="0.25">
      <c r="B13" s="283" t="s">
        <v>99</v>
      </c>
      <c r="C13" s="284">
        <f>+C3+C10+C11+C12</f>
        <v>213224.54863166666</v>
      </c>
    </row>
    <row r="14" spans="1:256" x14ac:dyDescent="0.25">
      <c r="A14" s="287"/>
      <c r="B14" s="288" t="s">
        <v>110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7"/>
      <c r="EO14" s="287"/>
      <c r="EP14" s="287"/>
      <c r="EQ14" s="287"/>
      <c r="ER14" s="287"/>
      <c r="ES14" s="287"/>
      <c r="ET14" s="287"/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7"/>
      <c r="FF14" s="287"/>
      <c r="FG14" s="287"/>
      <c r="FH14" s="287"/>
      <c r="FI14" s="287"/>
      <c r="FJ14" s="287"/>
      <c r="FK14" s="287"/>
      <c r="FL14" s="287"/>
      <c r="FM14" s="287"/>
      <c r="FN14" s="287"/>
      <c r="FO14" s="287"/>
      <c r="FP14" s="287"/>
      <c r="FQ14" s="287"/>
      <c r="FR14" s="287"/>
      <c r="FS14" s="287"/>
      <c r="FT14" s="287"/>
      <c r="FU14" s="287"/>
      <c r="FV14" s="287"/>
      <c r="FW14" s="287"/>
      <c r="FX14" s="287"/>
      <c r="FY14" s="287"/>
      <c r="FZ14" s="287"/>
      <c r="GA14" s="287"/>
      <c r="GB14" s="287"/>
      <c r="GC14" s="287"/>
      <c r="GD14" s="287"/>
      <c r="GE14" s="287"/>
      <c r="GF14" s="287"/>
      <c r="GG14" s="287"/>
      <c r="GH14" s="287"/>
      <c r="GI14" s="287"/>
      <c r="GJ14" s="287"/>
      <c r="GK14" s="287"/>
      <c r="GL14" s="287"/>
      <c r="GM14" s="287"/>
      <c r="GN14" s="287"/>
      <c r="GO14" s="287"/>
      <c r="GP14" s="287"/>
      <c r="GQ14" s="287"/>
      <c r="GR14" s="287"/>
      <c r="GS14" s="287"/>
      <c r="GT14" s="287"/>
      <c r="GU14" s="287"/>
      <c r="GV14" s="287"/>
      <c r="GW14" s="287"/>
      <c r="GX14" s="287"/>
      <c r="GY14" s="287"/>
      <c r="GZ14" s="287"/>
      <c r="HA14" s="287"/>
      <c r="HB14" s="287"/>
      <c r="HC14" s="287"/>
      <c r="HD14" s="287"/>
      <c r="HE14" s="287"/>
      <c r="HF14" s="287"/>
      <c r="HG14" s="287"/>
      <c r="HH14" s="287"/>
      <c r="HI14" s="287"/>
      <c r="HJ14" s="287"/>
      <c r="HK14" s="287"/>
      <c r="HL14" s="287"/>
      <c r="HM14" s="287"/>
      <c r="HN14" s="287"/>
      <c r="HO14" s="287"/>
      <c r="HP14" s="287"/>
      <c r="HQ14" s="287"/>
      <c r="HR14" s="287"/>
      <c r="HS14" s="287"/>
      <c r="HT14" s="287"/>
      <c r="HU14" s="287"/>
      <c r="HV14" s="287"/>
      <c r="HW14" s="287"/>
      <c r="HX14" s="287"/>
      <c r="HY14" s="287"/>
      <c r="HZ14" s="287"/>
      <c r="IA14" s="287"/>
      <c r="IB14" s="287"/>
      <c r="IC14" s="287"/>
      <c r="ID14" s="287"/>
      <c r="IE14" s="287"/>
      <c r="IF14" s="287"/>
      <c r="IG14" s="287"/>
      <c r="IH14" s="287"/>
      <c r="II14" s="287"/>
      <c r="IJ14" s="287"/>
      <c r="IK14" s="287"/>
      <c r="IL14" s="287"/>
      <c r="IM14" s="287"/>
      <c r="IN14" s="287"/>
      <c r="IO14" s="287"/>
      <c r="IP14" s="287"/>
      <c r="IQ14" s="287"/>
      <c r="IR14" s="287"/>
      <c r="IS14" s="287"/>
      <c r="IT14" s="287"/>
      <c r="IU14" s="287"/>
      <c r="IV14" s="287"/>
    </row>
    <row r="15" spans="1:256" x14ac:dyDescent="0.25">
      <c r="B15" s="288"/>
    </row>
    <row r="16" spans="1:256" x14ac:dyDescent="0.25">
      <c r="B16" s="288"/>
      <c r="C16" s="289"/>
    </row>
    <row r="17" spans="2:2" x14ac:dyDescent="0.25">
      <c r="B17" s="288"/>
    </row>
    <row r="18" spans="2:2" x14ac:dyDescent="0.25">
      <c r="B18" s="288"/>
    </row>
    <row r="19" spans="2:2" x14ac:dyDescent="0.25">
      <c r="B19" s="288"/>
    </row>
    <row r="20" spans="2:2" x14ac:dyDescent="0.25">
      <c r="B20" s="288"/>
    </row>
    <row r="21" spans="2:2" x14ac:dyDescent="0.25">
      <c r="B21" s="288"/>
    </row>
    <row r="22" spans="2:2" x14ac:dyDescent="0.25">
      <c r="B22" s="288"/>
    </row>
    <row r="23" spans="2:2" x14ac:dyDescent="0.25">
      <c r="B23" s="288"/>
    </row>
    <row r="24" spans="2:2" x14ac:dyDescent="0.25">
      <c r="B24" s="288"/>
    </row>
    <row r="25" spans="2:2" x14ac:dyDescent="0.25">
      <c r="B25" s="288"/>
    </row>
    <row r="26" spans="2:2" x14ac:dyDescent="0.25">
      <c r="B26" s="288"/>
    </row>
    <row r="27" spans="2:2" x14ac:dyDescent="0.25">
      <c r="B27" s="288"/>
    </row>
    <row r="28" spans="2:2" x14ac:dyDescent="0.25">
      <c r="B28" s="288"/>
    </row>
    <row r="29" spans="2:2" x14ac:dyDescent="0.25">
      <c r="B29" s="288"/>
    </row>
    <row r="30" spans="2:2" x14ac:dyDescent="0.25">
      <c r="B30" s="288"/>
    </row>
    <row r="31" spans="2:2" x14ac:dyDescent="0.25">
      <c r="B31" s="288"/>
    </row>
    <row r="32" spans="2:2" x14ac:dyDescent="0.25">
      <c r="B32" s="288"/>
    </row>
    <row r="33" spans="1:256" x14ac:dyDescent="0.25">
      <c r="B33" s="288"/>
    </row>
    <row r="34" spans="1:256" x14ac:dyDescent="0.25">
      <c r="B34" s="288"/>
    </row>
    <row r="35" spans="1:256" x14ac:dyDescent="0.25">
      <c r="A35" s="287"/>
      <c r="B35" s="290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7"/>
      <c r="DQ35" s="287"/>
      <c r="DR35" s="287"/>
      <c r="DS35" s="287"/>
      <c r="DT35" s="287"/>
      <c r="DU35" s="287"/>
      <c r="DV35" s="287"/>
      <c r="DW35" s="287"/>
      <c r="DX35" s="287"/>
      <c r="DY35" s="287"/>
      <c r="DZ35" s="287"/>
      <c r="EA35" s="287"/>
      <c r="EB35" s="287"/>
      <c r="EC35" s="287"/>
      <c r="ED35" s="287"/>
      <c r="EE35" s="287"/>
      <c r="EF35" s="287"/>
      <c r="EG35" s="287"/>
      <c r="EH35" s="287"/>
      <c r="EI35" s="287"/>
      <c r="EJ35" s="287"/>
      <c r="EK35" s="287"/>
      <c r="EL35" s="287"/>
      <c r="EM35" s="287"/>
      <c r="EN35" s="287"/>
      <c r="EO35" s="287"/>
      <c r="EP35" s="287"/>
      <c r="EQ35" s="287"/>
      <c r="ER35" s="287"/>
      <c r="ES35" s="287"/>
      <c r="ET35" s="287"/>
      <c r="EU35" s="287"/>
      <c r="EV35" s="287"/>
      <c r="EW35" s="287"/>
      <c r="EX35" s="287"/>
      <c r="EY35" s="287"/>
      <c r="EZ35" s="287"/>
      <c r="FA35" s="287"/>
      <c r="FB35" s="287"/>
      <c r="FC35" s="287"/>
      <c r="FD35" s="287"/>
      <c r="FE35" s="287"/>
      <c r="FF35" s="287"/>
      <c r="FG35" s="287"/>
      <c r="FH35" s="287"/>
      <c r="FI35" s="287"/>
      <c r="FJ35" s="287"/>
      <c r="FK35" s="287"/>
      <c r="FL35" s="287"/>
      <c r="FM35" s="287"/>
      <c r="FN35" s="287"/>
      <c r="FO35" s="287"/>
      <c r="FP35" s="287"/>
      <c r="FQ35" s="287"/>
      <c r="FR35" s="287"/>
      <c r="FS35" s="287"/>
      <c r="FT35" s="287"/>
      <c r="FU35" s="287"/>
      <c r="FV35" s="287"/>
      <c r="FW35" s="287"/>
      <c r="FX35" s="287"/>
      <c r="FY35" s="287"/>
      <c r="FZ35" s="287"/>
      <c r="GA35" s="287"/>
      <c r="GB35" s="287"/>
      <c r="GC35" s="287"/>
      <c r="GD35" s="287"/>
      <c r="GE35" s="287"/>
      <c r="GF35" s="287"/>
      <c r="GG35" s="287"/>
      <c r="GH35" s="287"/>
      <c r="GI35" s="287"/>
      <c r="GJ35" s="287"/>
      <c r="GK35" s="287"/>
      <c r="GL35" s="287"/>
      <c r="GM35" s="287"/>
      <c r="GN35" s="287"/>
      <c r="GO35" s="287"/>
      <c r="GP35" s="287"/>
      <c r="GQ35" s="287"/>
      <c r="GR35" s="287"/>
      <c r="GS35" s="287"/>
      <c r="GT35" s="287"/>
      <c r="GU35" s="287"/>
      <c r="GV35" s="287"/>
      <c r="GW35" s="287"/>
      <c r="GX35" s="287"/>
      <c r="GY35" s="287"/>
      <c r="GZ35" s="287"/>
      <c r="HA35" s="287"/>
      <c r="HB35" s="287"/>
      <c r="HC35" s="287"/>
      <c r="HD35" s="287"/>
      <c r="HE35" s="287"/>
      <c r="HF35" s="287"/>
      <c r="HG35" s="287"/>
      <c r="HH35" s="287"/>
      <c r="HI35" s="287"/>
      <c r="HJ35" s="287"/>
      <c r="HK35" s="287"/>
      <c r="HL35" s="287"/>
      <c r="HM35" s="287"/>
      <c r="HN35" s="287"/>
      <c r="HO35" s="287"/>
      <c r="HP35" s="287"/>
      <c r="HQ35" s="287"/>
      <c r="HR35" s="287"/>
      <c r="HS35" s="287"/>
      <c r="HT35" s="287"/>
      <c r="HU35" s="287"/>
      <c r="HV35" s="287"/>
      <c r="HW35" s="287"/>
      <c r="HX35" s="287"/>
      <c r="HY35" s="287"/>
      <c r="HZ35" s="287"/>
      <c r="IA35" s="287"/>
      <c r="IB35" s="287"/>
      <c r="IC35" s="287"/>
      <c r="ID35" s="287"/>
      <c r="IE35" s="287"/>
      <c r="IF35" s="287"/>
      <c r="IG35" s="287"/>
      <c r="IH35" s="287"/>
      <c r="II35" s="287"/>
      <c r="IJ35" s="287"/>
      <c r="IK35" s="287"/>
      <c r="IL35" s="287"/>
      <c r="IM35" s="287"/>
      <c r="IN35" s="287"/>
      <c r="IO35" s="287"/>
      <c r="IP35" s="287"/>
      <c r="IQ35" s="287"/>
      <c r="IR35" s="287"/>
      <c r="IS35" s="287"/>
      <c r="IT35" s="287"/>
      <c r="IU35" s="287"/>
      <c r="IV35" s="287"/>
    </row>
    <row r="36" spans="1:256" x14ac:dyDescent="0.25">
      <c r="B36" s="288"/>
    </row>
    <row r="37" spans="1:256" x14ac:dyDescent="0.25">
      <c r="B37" s="288"/>
    </row>
    <row r="38" spans="1:256" x14ac:dyDescent="0.25">
      <c r="A38" s="287"/>
      <c r="B38" s="290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7"/>
      <c r="DD38" s="287"/>
      <c r="DE38" s="287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287"/>
      <c r="EG38" s="287"/>
      <c r="EH38" s="287"/>
      <c r="EI38" s="287"/>
      <c r="EJ38" s="287"/>
      <c r="EK38" s="287"/>
      <c r="EL38" s="287"/>
      <c r="EM38" s="287"/>
      <c r="EN38" s="287"/>
      <c r="EO38" s="287"/>
      <c r="EP38" s="287"/>
      <c r="EQ38" s="287"/>
      <c r="ER38" s="287"/>
      <c r="ES38" s="287"/>
      <c r="ET38" s="287"/>
      <c r="EU38" s="287"/>
      <c r="EV38" s="287"/>
      <c r="EW38" s="287"/>
      <c r="EX38" s="287"/>
      <c r="EY38" s="287"/>
      <c r="EZ38" s="287"/>
      <c r="FA38" s="287"/>
      <c r="FB38" s="287"/>
      <c r="FC38" s="287"/>
      <c r="FD38" s="287"/>
      <c r="FE38" s="287"/>
      <c r="FF38" s="287"/>
      <c r="FG38" s="287"/>
      <c r="FH38" s="287"/>
      <c r="FI38" s="287"/>
      <c r="FJ38" s="287"/>
      <c r="FK38" s="287"/>
      <c r="FL38" s="287"/>
      <c r="FM38" s="287"/>
      <c r="FN38" s="287"/>
      <c r="FO38" s="287"/>
      <c r="FP38" s="287"/>
      <c r="FQ38" s="287"/>
      <c r="FR38" s="287"/>
      <c r="FS38" s="287"/>
      <c r="FT38" s="287"/>
      <c r="FU38" s="287"/>
      <c r="FV38" s="287"/>
      <c r="FW38" s="287"/>
      <c r="FX38" s="287"/>
      <c r="FY38" s="287"/>
      <c r="FZ38" s="287"/>
      <c r="GA38" s="287"/>
      <c r="GB38" s="287"/>
      <c r="GC38" s="287"/>
      <c r="GD38" s="287"/>
      <c r="GE38" s="287"/>
      <c r="GF38" s="287"/>
      <c r="GG38" s="287"/>
      <c r="GH38" s="287"/>
      <c r="GI38" s="287"/>
      <c r="GJ38" s="287"/>
      <c r="GK38" s="287"/>
      <c r="GL38" s="287"/>
      <c r="GM38" s="287"/>
      <c r="GN38" s="287"/>
      <c r="GO38" s="287"/>
      <c r="GP38" s="287"/>
      <c r="GQ38" s="287"/>
      <c r="GR38" s="287"/>
      <c r="GS38" s="287"/>
      <c r="GT38" s="287"/>
      <c r="GU38" s="287"/>
      <c r="GV38" s="287"/>
      <c r="GW38" s="287"/>
      <c r="GX38" s="287"/>
      <c r="GY38" s="287"/>
      <c r="GZ38" s="287"/>
      <c r="HA38" s="287"/>
      <c r="HB38" s="287"/>
      <c r="HC38" s="287"/>
      <c r="HD38" s="287"/>
      <c r="HE38" s="287"/>
      <c r="HF38" s="287"/>
      <c r="HG38" s="287"/>
      <c r="HH38" s="287"/>
      <c r="HI38" s="287"/>
      <c r="HJ38" s="287"/>
      <c r="HK38" s="287"/>
      <c r="HL38" s="287"/>
      <c r="HM38" s="287"/>
      <c r="HN38" s="287"/>
      <c r="HO38" s="287"/>
      <c r="HP38" s="287"/>
      <c r="HQ38" s="287"/>
      <c r="HR38" s="287"/>
      <c r="HS38" s="287"/>
      <c r="HT38" s="287"/>
      <c r="HU38" s="287"/>
      <c r="HV38" s="287"/>
      <c r="HW38" s="287"/>
      <c r="HX38" s="287"/>
      <c r="HY38" s="287"/>
      <c r="HZ38" s="287"/>
      <c r="IA38" s="287"/>
      <c r="IB38" s="287"/>
      <c r="IC38" s="287"/>
      <c r="ID38" s="287"/>
      <c r="IE38" s="287"/>
      <c r="IF38" s="287"/>
      <c r="IG38" s="287"/>
      <c r="IH38" s="287"/>
      <c r="II38" s="287"/>
      <c r="IJ38" s="287"/>
      <c r="IK38" s="287"/>
      <c r="IL38" s="287"/>
      <c r="IM38" s="287"/>
      <c r="IN38" s="287"/>
      <c r="IO38" s="287"/>
      <c r="IP38" s="287"/>
      <c r="IQ38" s="287"/>
      <c r="IR38" s="287"/>
      <c r="IS38" s="287"/>
      <c r="IT38" s="287"/>
      <c r="IU38" s="287"/>
      <c r="IV38" s="287"/>
    </row>
    <row r="39" spans="1:256" x14ac:dyDescent="0.25">
      <c r="B39" s="288"/>
    </row>
    <row r="40" spans="1:256" x14ac:dyDescent="0.25">
      <c r="B40" s="288"/>
    </row>
    <row r="41" spans="1:256" x14ac:dyDescent="0.25">
      <c r="B41" s="288"/>
    </row>
    <row r="42" spans="1:256" x14ac:dyDescent="0.25">
      <c r="B42" s="288"/>
    </row>
    <row r="43" spans="1:256" x14ac:dyDescent="0.25">
      <c r="A43" s="287"/>
      <c r="B43" s="290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7"/>
      <c r="DQ43" s="287"/>
      <c r="DR43" s="287"/>
      <c r="DS43" s="287"/>
      <c r="DT43" s="287"/>
      <c r="DU43" s="287"/>
      <c r="DV43" s="287"/>
      <c r="DW43" s="287"/>
      <c r="DX43" s="287"/>
      <c r="DY43" s="287"/>
      <c r="DZ43" s="287"/>
      <c r="EA43" s="287"/>
      <c r="EB43" s="287"/>
      <c r="EC43" s="287"/>
      <c r="ED43" s="287"/>
      <c r="EE43" s="287"/>
      <c r="EF43" s="287"/>
      <c r="EG43" s="287"/>
      <c r="EH43" s="287"/>
      <c r="EI43" s="287"/>
      <c r="EJ43" s="287"/>
      <c r="EK43" s="287"/>
      <c r="EL43" s="287"/>
      <c r="EM43" s="287"/>
      <c r="EN43" s="287"/>
      <c r="EO43" s="287"/>
      <c r="EP43" s="287"/>
      <c r="EQ43" s="287"/>
      <c r="ER43" s="287"/>
      <c r="ES43" s="287"/>
      <c r="ET43" s="287"/>
      <c r="EU43" s="287"/>
      <c r="EV43" s="287"/>
      <c r="EW43" s="287"/>
      <c r="EX43" s="287"/>
      <c r="EY43" s="287"/>
      <c r="EZ43" s="287"/>
      <c r="FA43" s="287"/>
      <c r="FB43" s="287"/>
      <c r="FC43" s="287"/>
      <c r="FD43" s="287"/>
      <c r="FE43" s="287"/>
      <c r="FF43" s="287"/>
      <c r="FG43" s="287"/>
      <c r="FH43" s="287"/>
      <c r="FI43" s="287"/>
      <c r="FJ43" s="287"/>
      <c r="FK43" s="287"/>
      <c r="FL43" s="287"/>
      <c r="FM43" s="287"/>
      <c r="FN43" s="287"/>
      <c r="FO43" s="287"/>
      <c r="FP43" s="287"/>
      <c r="FQ43" s="287"/>
      <c r="FR43" s="287"/>
      <c r="FS43" s="287"/>
      <c r="FT43" s="287"/>
      <c r="FU43" s="287"/>
      <c r="FV43" s="287"/>
      <c r="FW43" s="287"/>
      <c r="FX43" s="287"/>
      <c r="FY43" s="287"/>
      <c r="FZ43" s="287"/>
      <c r="GA43" s="287"/>
      <c r="GB43" s="287"/>
      <c r="GC43" s="287"/>
      <c r="GD43" s="287"/>
      <c r="GE43" s="287"/>
      <c r="GF43" s="287"/>
      <c r="GG43" s="287"/>
      <c r="GH43" s="287"/>
      <c r="GI43" s="287"/>
      <c r="GJ43" s="287"/>
      <c r="GK43" s="287"/>
      <c r="GL43" s="287"/>
      <c r="GM43" s="287"/>
      <c r="GN43" s="287"/>
      <c r="GO43" s="287"/>
      <c r="GP43" s="287"/>
      <c r="GQ43" s="287"/>
      <c r="GR43" s="287"/>
      <c r="GS43" s="287"/>
      <c r="GT43" s="287"/>
      <c r="GU43" s="287"/>
      <c r="GV43" s="287"/>
      <c r="GW43" s="287"/>
      <c r="GX43" s="287"/>
      <c r="GY43" s="287"/>
      <c r="GZ43" s="287"/>
      <c r="HA43" s="287"/>
      <c r="HB43" s="287"/>
      <c r="HC43" s="287"/>
      <c r="HD43" s="287"/>
      <c r="HE43" s="287"/>
      <c r="HF43" s="287"/>
      <c r="HG43" s="287"/>
      <c r="HH43" s="287"/>
      <c r="HI43" s="287"/>
      <c r="HJ43" s="287"/>
      <c r="HK43" s="287"/>
      <c r="HL43" s="287"/>
      <c r="HM43" s="287"/>
      <c r="HN43" s="287"/>
      <c r="HO43" s="287"/>
      <c r="HP43" s="287"/>
      <c r="HQ43" s="287"/>
      <c r="HR43" s="287"/>
      <c r="HS43" s="287"/>
      <c r="HT43" s="287"/>
      <c r="HU43" s="287"/>
      <c r="HV43" s="287"/>
      <c r="HW43" s="287"/>
      <c r="HX43" s="287"/>
      <c r="HY43" s="287"/>
      <c r="HZ43" s="287"/>
      <c r="IA43" s="287"/>
      <c r="IB43" s="287"/>
      <c r="IC43" s="287"/>
      <c r="ID43" s="287"/>
      <c r="IE43" s="287"/>
      <c r="IF43" s="287"/>
      <c r="IG43" s="287"/>
      <c r="IH43" s="287"/>
      <c r="II43" s="287"/>
      <c r="IJ43" s="287"/>
      <c r="IK43" s="287"/>
      <c r="IL43" s="287"/>
      <c r="IM43" s="287"/>
      <c r="IN43" s="287"/>
      <c r="IO43" s="287"/>
      <c r="IP43" s="287"/>
      <c r="IQ43" s="287"/>
      <c r="IR43" s="287"/>
      <c r="IS43" s="287"/>
      <c r="IT43" s="287"/>
      <c r="IU43" s="287"/>
      <c r="IV43" s="287"/>
    </row>
    <row r="44" spans="1:256" x14ac:dyDescent="0.25">
      <c r="B44" s="288"/>
    </row>
    <row r="45" spans="1:256" x14ac:dyDescent="0.25">
      <c r="B45" s="288"/>
    </row>
    <row r="46" spans="1:256" x14ac:dyDescent="0.25">
      <c r="B46" s="288"/>
    </row>
    <row r="47" spans="1:256" x14ac:dyDescent="0.25">
      <c r="B47" s="288"/>
    </row>
    <row r="48" spans="1:256" x14ac:dyDescent="0.25">
      <c r="B48" s="288"/>
    </row>
    <row r="49" spans="2:2" x14ac:dyDescent="0.25">
      <c r="B49" s="288"/>
    </row>
    <row r="50" spans="2:2" x14ac:dyDescent="0.25">
      <c r="B50" s="288"/>
    </row>
    <row r="51" spans="2:2" x14ac:dyDescent="0.25">
      <c r="B51" s="288"/>
    </row>
    <row r="52" spans="2:2" x14ac:dyDescent="0.25">
      <c r="B52" s="288"/>
    </row>
    <row r="53" spans="2:2" x14ac:dyDescent="0.25">
      <c r="B53" s="288"/>
    </row>
    <row r="54" spans="2:2" x14ac:dyDescent="0.25">
      <c r="B54" s="288"/>
    </row>
    <row r="55" spans="2:2" x14ac:dyDescent="0.25">
      <c r="B55" s="288"/>
    </row>
    <row r="56" spans="2:2" x14ac:dyDescent="0.25">
      <c r="B56" s="288"/>
    </row>
    <row r="57" spans="2:2" x14ac:dyDescent="0.25">
      <c r="B57" s="288"/>
    </row>
    <row r="58" spans="2:2" x14ac:dyDescent="0.25">
      <c r="B58" s="288"/>
    </row>
    <row r="59" spans="2:2" x14ac:dyDescent="0.25">
      <c r="B59" s="288"/>
    </row>
    <row r="60" spans="2:2" x14ac:dyDescent="0.25">
      <c r="B60" s="288"/>
    </row>
    <row r="61" spans="2:2" x14ac:dyDescent="0.25">
      <c r="B61" s="288"/>
    </row>
    <row r="62" spans="2:2" x14ac:dyDescent="0.25">
      <c r="B62" s="288"/>
    </row>
    <row r="63" spans="2:2" x14ac:dyDescent="0.25">
      <c r="B63" s="288"/>
    </row>
    <row r="64" spans="2:2" x14ac:dyDescent="0.25">
      <c r="B64" s="288"/>
    </row>
    <row r="65" spans="2:2" x14ac:dyDescent="0.25">
      <c r="B65" s="288"/>
    </row>
    <row r="66" spans="2:2" x14ac:dyDescent="0.25">
      <c r="B66" s="288"/>
    </row>
    <row r="67" spans="2:2" x14ac:dyDescent="0.25">
      <c r="B67" s="288"/>
    </row>
    <row r="68" spans="2:2" x14ac:dyDescent="0.25">
      <c r="B68" s="288"/>
    </row>
    <row r="69" spans="2:2" x14ac:dyDescent="0.25">
      <c r="B69" s="288"/>
    </row>
    <row r="70" spans="2:2" x14ac:dyDescent="0.25">
      <c r="B70" s="288"/>
    </row>
    <row r="71" spans="2:2" x14ac:dyDescent="0.25">
      <c r="B71" s="288"/>
    </row>
    <row r="72" spans="2:2" x14ac:dyDescent="0.25">
      <c r="B72" s="288"/>
    </row>
  </sheetData>
  <mergeCells count="1">
    <mergeCell ref="B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4"/>
  <sheetViews>
    <sheetView showGridLines="0" topLeftCell="A28" zoomScaleNormal="100" zoomScaleSheetLayoutView="100" workbookViewId="0">
      <selection activeCell="B20" sqref="B20:B22"/>
    </sheetView>
  </sheetViews>
  <sheetFormatPr baseColWidth="10" defaultColWidth="11.42578125" defaultRowHeight="11.25" x14ac:dyDescent="0.25"/>
  <cols>
    <col min="1" max="1" width="3.140625" style="26" customWidth="1"/>
    <col min="2" max="2" width="53" style="27" customWidth="1"/>
    <col min="3" max="3" width="11.28515625" style="77" customWidth="1"/>
    <col min="4" max="4" width="10.5703125" style="26" bestFit="1" customWidth="1"/>
    <col min="5" max="5" width="15.5703125" style="26" bestFit="1" customWidth="1"/>
    <col min="6" max="6" width="14.140625" style="26" customWidth="1"/>
    <col min="7" max="7" width="12.5703125" style="26" bestFit="1" customWidth="1"/>
    <col min="8" max="8" width="16.28515625" style="26" customWidth="1"/>
    <col min="9" max="9" width="12.140625" style="26" bestFit="1" customWidth="1"/>
    <col min="10" max="10" width="11.42578125" style="26"/>
    <col min="11" max="11" width="1" style="26" customWidth="1"/>
    <col min="12" max="16384" width="11.42578125" style="26"/>
  </cols>
  <sheetData>
    <row r="1" spans="2:12" ht="15.75" customHeight="1" x14ac:dyDescent="0.25">
      <c r="B1" s="756" t="s">
        <v>253</v>
      </c>
      <c r="C1" s="756"/>
      <c r="D1" s="756"/>
      <c r="E1" s="756"/>
      <c r="F1" s="756"/>
    </row>
    <row r="2" spans="2:12" x14ac:dyDescent="0.25">
      <c r="B2" s="757" t="s">
        <v>254</v>
      </c>
      <c r="C2" s="757"/>
      <c r="D2" s="757"/>
      <c r="E2" s="757"/>
      <c r="F2" s="757"/>
    </row>
    <row r="3" spans="2:12" s="27" customFormat="1" ht="11.25" customHeight="1" x14ac:dyDescent="0.25">
      <c r="B3" s="758" t="s">
        <v>28</v>
      </c>
      <c r="C3" s="758" t="s">
        <v>255</v>
      </c>
      <c r="D3" s="758" t="s">
        <v>256</v>
      </c>
      <c r="E3" s="758"/>
      <c r="F3" s="758" t="s">
        <v>99</v>
      </c>
    </row>
    <row r="4" spans="2:12" s="27" customFormat="1" ht="22.5" x14ac:dyDescent="0.25">
      <c r="B4" s="758"/>
      <c r="C4" s="758"/>
      <c r="D4" s="17" t="s">
        <v>257</v>
      </c>
      <c r="E4" s="17" t="s">
        <v>258</v>
      </c>
      <c r="F4" s="758"/>
      <c r="L4" s="82"/>
    </row>
    <row r="5" spans="2:12" s="31" customFormat="1" x14ac:dyDescent="0.25">
      <c r="B5" s="28" t="s">
        <v>105</v>
      </c>
      <c r="C5" s="67">
        <f>C6+C11</f>
        <v>143961.869875</v>
      </c>
      <c r="D5" s="29">
        <f>D6+D11</f>
        <v>17000</v>
      </c>
      <c r="E5" s="29">
        <f>E6+E11</f>
        <v>19000</v>
      </c>
      <c r="F5" s="29">
        <f>F6+F11</f>
        <v>179961.869875</v>
      </c>
      <c r="G5" s="30"/>
      <c r="H5" s="30"/>
      <c r="I5" s="30"/>
      <c r="J5" s="30"/>
      <c r="K5" s="30"/>
      <c r="L5" s="78"/>
    </row>
    <row r="6" spans="2:12" x14ac:dyDescent="0.25">
      <c r="B6" s="32" t="s">
        <v>104</v>
      </c>
      <c r="C6" s="68">
        <f>SUM(C7:C10)</f>
        <v>141711.869875</v>
      </c>
      <c r="D6" s="33">
        <f>SUM(D7:D10)</f>
        <v>12500</v>
      </c>
      <c r="E6" s="33">
        <f>SUM(E7:E10)</f>
        <v>19000</v>
      </c>
      <c r="F6" s="33">
        <f>+C6+D6+E6</f>
        <v>173211.869875</v>
      </c>
      <c r="G6" s="34"/>
      <c r="H6" s="34"/>
      <c r="I6" s="34"/>
      <c r="J6" s="34"/>
      <c r="K6" s="34"/>
    </row>
    <row r="7" spans="2:12" x14ac:dyDescent="0.25">
      <c r="B7" s="35" t="s">
        <v>351</v>
      </c>
      <c r="C7" s="69">
        <f>+F25</f>
        <v>133211.869875</v>
      </c>
      <c r="D7" s="36"/>
      <c r="E7" s="36">
        <f>+H25</f>
        <v>19000</v>
      </c>
      <c r="F7" s="33">
        <f>+C7+D7+E7</f>
        <v>152211.869875</v>
      </c>
      <c r="G7" s="34"/>
      <c r="H7" s="34"/>
      <c r="I7" s="34"/>
      <c r="J7" s="34"/>
      <c r="K7" s="34"/>
    </row>
    <row r="8" spans="2:12" x14ac:dyDescent="0.25">
      <c r="B8" s="35" t="s">
        <v>250</v>
      </c>
      <c r="C8" s="69">
        <f>+F29</f>
        <v>8500</v>
      </c>
      <c r="D8" s="36">
        <f>+G29</f>
        <v>9250</v>
      </c>
      <c r="E8" s="36"/>
      <c r="F8" s="33">
        <f>+C8+D8+E8</f>
        <v>17750</v>
      </c>
      <c r="G8" s="34"/>
      <c r="H8" s="34"/>
      <c r="I8" s="34"/>
      <c r="J8" s="34"/>
      <c r="K8" s="34"/>
    </row>
    <row r="9" spans="2:12" x14ac:dyDescent="0.25">
      <c r="B9" s="35" t="s">
        <v>259</v>
      </c>
      <c r="C9" s="69"/>
      <c r="D9" s="36">
        <f>+E33</f>
        <v>3250</v>
      </c>
      <c r="E9" s="36">
        <f>+H33</f>
        <v>0</v>
      </c>
      <c r="F9" s="36">
        <f t="shared" ref="F9" si="0">E9+C9+D9</f>
        <v>3250</v>
      </c>
      <c r="G9" s="34"/>
      <c r="H9" s="34"/>
      <c r="I9" s="34"/>
      <c r="J9" s="34"/>
      <c r="K9" s="34"/>
    </row>
    <row r="10" spans="2:12" x14ac:dyDescent="0.25">
      <c r="B10" s="35" t="s">
        <v>252</v>
      </c>
      <c r="C10" s="69"/>
      <c r="D10" s="36"/>
      <c r="E10" s="36">
        <f>+H36</f>
        <v>0</v>
      </c>
      <c r="F10" s="36">
        <f>E10+C10+D10</f>
        <v>0</v>
      </c>
      <c r="G10" s="34"/>
      <c r="H10" s="34"/>
      <c r="I10" s="34"/>
      <c r="J10" s="34"/>
      <c r="K10" s="34"/>
    </row>
    <row r="11" spans="2:12" x14ac:dyDescent="0.25">
      <c r="B11" s="32" t="s">
        <v>103</v>
      </c>
      <c r="C11" s="68">
        <f>+F38</f>
        <v>2250</v>
      </c>
      <c r="D11" s="33">
        <f>+G38</f>
        <v>4500</v>
      </c>
      <c r="E11" s="33"/>
      <c r="F11" s="33">
        <f>E11+C11+D11</f>
        <v>6750</v>
      </c>
      <c r="G11" s="34"/>
    </row>
    <row r="12" spans="2:12" s="31" customFormat="1" x14ac:dyDescent="0.25">
      <c r="B12" s="28" t="s">
        <v>100</v>
      </c>
      <c r="C12" s="67">
        <f>+F41</f>
        <v>0</v>
      </c>
      <c r="D12" s="29"/>
      <c r="E12" s="29">
        <f>+H41</f>
        <v>18865.729166666664</v>
      </c>
      <c r="F12" s="29">
        <f>E12+C12+D12</f>
        <v>18865.729166666664</v>
      </c>
      <c r="G12" s="30"/>
    </row>
    <row r="13" spans="2:12" s="31" customFormat="1" x14ac:dyDescent="0.25">
      <c r="B13" s="28" t="s">
        <v>345</v>
      </c>
      <c r="C13" s="67">
        <f>+E47</f>
        <v>8998.0934937500006</v>
      </c>
      <c r="D13" s="29"/>
      <c r="E13" s="29"/>
      <c r="F13" s="29">
        <f>E13+C13+D13</f>
        <v>8998.0934937500006</v>
      </c>
      <c r="G13" s="30"/>
    </row>
    <row r="14" spans="2:12" s="31" customFormat="1" x14ac:dyDescent="0.25">
      <c r="B14" s="28" t="s">
        <v>336</v>
      </c>
      <c r="C14" s="67">
        <f>+F48</f>
        <v>5398.8560962499996</v>
      </c>
      <c r="D14" s="29"/>
      <c r="E14" s="29"/>
      <c r="F14" s="29">
        <f>E14+C14+D14</f>
        <v>5398.8560962499996</v>
      </c>
      <c r="G14" s="30"/>
    </row>
    <row r="15" spans="2:12" s="31" customFormat="1" x14ac:dyDescent="0.25">
      <c r="B15" s="37" t="s">
        <v>102</v>
      </c>
      <c r="C15" s="70">
        <f>C5+C12+C13+C14</f>
        <v>158358.81946500001</v>
      </c>
      <c r="D15" s="38">
        <f>D13+D12+D5</f>
        <v>17000</v>
      </c>
      <c r="E15" s="38">
        <f>E13+E12+E5</f>
        <v>37865.729166666664</v>
      </c>
      <c r="F15" s="38">
        <f>F5+F12+F13+F14</f>
        <v>213224.54863166666</v>
      </c>
      <c r="G15" s="30" t="str">
        <f>+IF(F15=INVERSION!C13,"Verdadero","Falso")</f>
        <v>Verdadero</v>
      </c>
    </row>
    <row r="16" spans="2:12" s="31" customFormat="1" x14ac:dyDescent="0.25">
      <c r="B16" s="39" t="s">
        <v>101</v>
      </c>
      <c r="C16" s="40">
        <f>(C15/$F$15)</f>
        <v>0.74268568268166857</v>
      </c>
      <c r="D16" s="40">
        <f>(D15/$F$15)</f>
        <v>7.9728155641996631E-2</v>
      </c>
      <c r="E16" s="40">
        <f>(E15/$F$15)</f>
        <v>0.17758616167633479</v>
      </c>
      <c r="F16" s="41">
        <v>1</v>
      </c>
      <c r="G16" s="30"/>
    </row>
    <row r="17" spans="2:8" x14ac:dyDescent="0.25">
      <c r="B17" s="42" t="s">
        <v>208</v>
      </c>
      <c r="C17" s="71"/>
      <c r="D17" s="43"/>
      <c r="E17" s="43"/>
      <c r="F17" s="44"/>
      <c r="G17" s="34"/>
      <c r="H17" s="34"/>
    </row>
    <row r="18" spans="2:8" ht="15.75" x14ac:dyDescent="0.25">
      <c r="B18" s="756" t="s">
        <v>260</v>
      </c>
      <c r="C18" s="756"/>
      <c r="D18" s="756"/>
      <c r="E18" s="756"/>
      <c r="F18" s="756"/>
      <c r="G18" s="756"/>
      <c r="H18" s="756"/>
    </row>
    <row r="19" spans="2:8" x14ac:dyDescent="0.25">
      <c r="B19" s="757" t="s">
        <v>254</v>
      </c>
      <c r="C19" s="757"/>
      <c r="D19" s="757"/>
      <c r="E19" s="757"/>
      <c r="F19" s="757"/>
      <c r="G19" s="45"/>
      <c r="H19" s="46"/>
    </row>
    <row r="20" spans="2:8" x14ac:dyDescent="0.25">
      <c r="B20" s="758" t="s">
        <v>28</v>
      </c>
      <c r="C20" s="758" t="s">
        <v>52</v>
      </c>
      <c r="D20" s="758" t="s">
        <v>36</v>
      </c>
      <c r="E20" s="759" t="s">
        <v>106</v>
      </c>
      <c r="F20" s="760"/>
      <c r="G20" s="760"/>
      <c r="H20" s="761"/>
    </row>
    <row r="21" spans="2:8" x14ac:dyDescent="0.25">
      <c r="B21" s="758"/>
      <c r="C21" s="758"/>
      <c r="D21" s="758"/>
      <c r="E21" s="762" t="s">
        <v>261</v>
      </c>
      <c r="F21" s="764" t="s">
        <v>392</v>
      </c>
      <c r="G21" s="759" t="s">
        <v>262</v>
      </c>
      <c r="H21" s="761"/>
    </row>
    <row r="22" spans="2:8" ht="22.5" x14ac:dyDescent="0.25">
      <c r="B22" s="758"/>
      <c r="C22" s="758"/>
      <c r="D22" s="758"/>
      <c r="E22" s="763"/>
      <c r="F22" s="765"/>
      <c r="G22" s="17" t="s">
        <v>263</v>
      </c>
      <c r="H22" s="17" t="s">
        <v>264</v>
      </c>
    </row>
    <row r="23" spans="2:8" s="557" customFormat="1" ht="15" x14ac:dyDescent="0.25">
      <c r="B23" s="558" t="s">
        <v>105</v>
      </c>
      <c r="C23" s="559"/>
      <c r="D23" s="560"/>
      <c r="E23" s="561">
        <f>+E24+E38</f>
        <v>179961.869875</v>
      </c>
      <c r="F23" s="561">
        <f>+F24+F38</f>
        <v>143961.869875</v>
      </c>
      <c r="G23" s="561">
        <f>+G24+G38</f>
        <v>17000</v>
      </c>
      <c r="H23" s="561">
        <f>+H24+H38</f>
        <v>19000</v>
      </c>
    </row>
    <row r="24" spans="2:8" s="31" customFormat="1" x14ac:dyDescent="0.25">
      <c r="B24" s="563" t="s">
        <v>104</v>
      </c>
      <c r="C24" s="564"/>
      <c r="D24" s="565"/>
      <c r="E24" s="566">
        <f>+H24+G24+F24</f>
        <v>173211.869875</v>
      </c>
      <c r="F24" s="566">
        <f>+F25+F29+F33+F36</f>
        <v>141711.869875</v>
      </c>
      <c r="G24" s="566">
        <f>+G25+G29+G33+G36</f>
        <v>12500</v>
      </c>
      <c r="H24" s="566">
        <f t="shared" ref="H24" si="1">+H25+H29+H33+H36</f>
        <v>19000</v>
      </c>
    </row>
    <row r="25" spans="2:8" s="31" customFormat="1" x14ac:dyDescent="0.25">
      <c r="B25" s="571" t="s">
        <v>351</v>
      </c>
      <c r="C25" s="572"/>
      <c r="D25" s="573"/>
      <c r="E25" s="574">
        <f>+F25+G25+H25</f>
        <v>152211.869875</v>
      </c>
      <c r="F25" s="574">
        <f>+F27+F26</f>
        <v>133211.869875</v>
      </c>
      <c r="G25" s="574">
        <f>+G27+G26</f>
        <v>0</v>
      </c>
      <c r="H25" s="574">
        <f>+H27+H26</f>
        <v>19000</v>
      </c>
    </row>
    <row r="26" spans="2:8" x14ac:dyDescent="0.25">
      <c r="B26" s="79" t="s">
        <v>266</v>
      </c>
      <c r="C26" s="83" t="s">
        <v>265</v>
      </c>
      <c r="D26" s="83">
        <v>2</v>
      </c>
      <c r="E26" s="531">
        <f>+'TERREN e INFR'!F5</f>
        <v>19000</v>
      </c>
      <c r="F26" s="81">
        <v>0</v>
      </c>
      <c r="G26" s="81">
        <v>0</v>
      </c>
      <c r="H26" s="81">
        <f>+'TERREN e INFR'!F5</f>
        <v>19000</v>
      </c>
    </row>
    <row r="27" spans="2:8" x14ac:dyDescent="0.25">
      <c r="B27" s="79" t="s">
        <v>352</v>
      </c>
      <c r="C27" s="83" t="s">
        <v>81</v>
      </c>
      <c r="D27" s="83">
        <v>1</v>
      </c>
      <c r="E27" s="531">
        <f>+'TERREN e INFR'!F7</f>
        <v>133211.869875</v>
      </c>
      <c r="F27" s="81">
        <f>+E27</f>
        <v>133211.869875</v>
      </c>
      <c r="G27" s="81">
        <v>0</v>
      </c>
      <c r="H27" s="81">
        <v>0</v>
      </c>
    </row>
    <row r="28" spans="2:8" s="53" customFormat="1" x14ac:dyDescent="0.25">
      <c r="B28" s="80"/>
      <c r="C28" s="55"/>
      <c r="D28" s="52"/>
      <c r="E28" s="529"/>
      <c r="F28" s="530"/>
      <c r="G28" s="529"/>
      <c r="H28" s="529"/>
    </row>
    <row r="29" spans="2:8" s="31" customFormat="1" x14ac:dyDescent="0.25">
      <c r="B29" s="571" t="s">
        <v>250</v>
      </c>
      <c r="C29" s="572"/>
      <c r="D29" s="573"/>
      <c r="E29" s="574">
        <f>+F29+G29+H29</f>
        <v>17750</v>
      </c>
      <c r="F29" s="574">
        <f>SUM(F30:F32)</f>
        <v>8500</v>
      </c>
      <c r="G29" s="574">
        <f t="shared" ref="G29:H29" si="2">SUM(G30:G32)</f>
        <v>9250</v>
      </c>
      <c r="H29" s="574">
        <f t="shared" si="2"/>
        <v>0</v>
      </c>
    </row>
    <row r="30" spans="2:8" s="525" customFormat="1" x14ac:dyDescent="0.25">
      <c r="B30" s="79" t="s">
        <v>341</v>
      </c>
      <c r="C30" s="83" t="str">
        <f>+'MAQ y EQUIP'!B6</f>
        <v>Unidad</v>
      </c>
      <c r="D30" s="83">
        <f>+'MAQ y EQUIP'!C6</f>
        <v>5</v>
      </c>
      <c r="E30" s="81">
        <f>+'MAQ y EQUIP'!E6</f>
        <v>9250</v>
      </c>
      <c r="F30" s="81">
        <v>0</v>
      </c>
      <c r="G30" s="81">
        <f>+E30</f>
        <v>9250</v>
      </c>
      <c r="H30" s="81">
        <v>0</v>
      </c>
    </row>
    <row r="31" spans="2:8" s="525" customFormat="1" x14ac:dyDescent="0.25">
      <c r="B31" s="79" t="s">
        <v>342</v>
      </c>
      <c r="C31" s="83" t="str">
        <f>+'MAQ y EQUIP'!B7</f>
        <v>Unidad</v>
      </c>
      <c r="D31" s="83">
        <f>+'MAQ y EQUIP'!C7</f>
        <v>5</v>
      </c>
      <c r="E31" s="81">
        <f>+'MAQ y EQUIP'!E7</f>
        <v>8500</v>
      </c>
      <c r="F31" s="81">
        <f>+E31</f>
        <v>8500</v>
      </c>
      <c r="G31" s="81">
        <v>0</v>
      </c>
      <c r="H31" s="81">
        <v>0</v>
      </c>
    </row>
    <row r="32" spans="2:8" s="525" customFormat="1" x14ac:dyDescent="0.25">
      <c r="B32" s="526"/>
      <c r="C32" s="73"/>
      <c r="D32" s="54"/>
      <c r="E32" s="532"/>
      <c r="F32" s="532"/>
      <c r="G32" s="532"/>
      <c r="H32" s="532"/>
    </row>
    <row r="33" spans="2:8" s="31" customFormat="1" x14ac:dyDescent="0.25">
      <c r="B33" s="571" t="s">
        <v>251</v>
      </c>
      <c r="C33" s="572"/>
      <c r="D33" s="573"/>
      <c r="E33" s="574">
        <f>+F33+G33+H33</f>
        <v>3250</v>
      </c>
      <c r="F33" s="574">
        <f>+F34</f>
        <v>0</v>
      </c>
      <c r="G33" s="574">
        <f t="shared" ref="G33:H33" si="3">+G34</f>
        <v>3250</v>
      </c>
      <c r="H33" s="574">
        <f t="shared" si="3"/>
        <v>0</v>
      </c>
    </row>
    <row r="34" spans="2:8" s="53" customFormat="1" x14ac:dyDescent="0.25">
      <c r="B34" s="79" t="s">
        <v>343</v>
      </c>
      <c r="C34" s="83" t="s">
        <v>83</v>
      </c>
      <c r="D34" s="83">
        <v>5</v>
      </c>
      <c r="E34" s="81">
        <f>+'MAQ y EQUIP'!E9</f>
        <v>3250</v>
      </c>
      <c r="F34" s="81">
        <v>0</v>
      </c>
      <c r="G34" s="81">
        <f>+E34</f>
        <v>3250</v>
      </c>
      <c r="H34" s="81">
        <v>0</v>
      </c>
    </row>
    <row r="35" spans="2:8" s="53" customFormat="1" x14ac:dyDescent="0.25">
      <c r="B35" s="79"/>
      <c r="C35" s="83"/>
      <c r="D35" s="83"/>
      <c r="E35" s="81"/>
      <c r="F35" s="81"/>
      <c r="G35" s="81"/>
      <c r="H35" s="81"/>
    </row>
    <row r="36" spans="2:8" s="31" customFormat="1" x14ac:dyDescent="0.25">
      <c r="B36" s="571" t="s">
        <v>252</v>
      </c>
      <c r="C36" s="572"/>
      <c r="D36" s="573"/>
      <c r="E36" s="574">
        <f>+F36+G36+H36</f>
        <v>0</v>
      </c>
      <c r="F36" s="574">
        <f>+F37</f>
        <v>0</v>
      </c>
      <c r="G36" s="574">
        <f t="shared" ref="G36:H36" si="4">+G37</f>
        <v>0</v>
      </c>
      <c r="H36" s="574">
        <f t="shared" si="4"/>
        <v>0</v>
      </c>
    </row>
    <row r="37" spans="2:8" s="53" customFormat="1" x14ac:dyDescent="0.25">
      <c r="B37" s="79"/>
      <c r="C37" s="55"/>
      <c r="D37" s="52"/>
      <c r="E37" s="81"/>
      <c r="F37" s="81">
        <v>0</v>
      </c>
      <c r="G37" s="81">
        <v>0</v>
      </c>
      <c r="H37" s="81">
        <v>0</v>
      </c>
    </row>
    <row r="38" spans="2:8" s="31" customFormat="1" x14ac:dyDescent="0.25">
      <c r="B38" s="567" t="s">
        <v>103</v>
      </c>
      <c r="C38" s="568"/>
      <c r="D38" s="569"/>
      <c r="E38" s="570">
        <f>H38+F38+G38</f>
        <v>6750</v>
      </c>
      <c r="F38" s="570">
        <f>SUM(F39:F39)</f>
        <v>2250</v>
      </c>
      <c r="G38" s="570">
        <f>SUM(G39:G39)</f>
        <v>4500</v>
      </c>
      <c r="H38" s="570">
        <f>SUM(H39:H39)</f>
        <v>0</v>
      </c>
    </row>
    <row r="39" spans="2:8" ht="25.5" customHeight="1" x14ac:dyDescent="0.25">
      <c r="B39" s="58" t="str">
        <f>+CONCATENATE('INVERS FIJ INTANG'!B5," ",'INVERS FIJ INTANG'!C5)</f>
        <v>I.2.1 ASISTENCIA TECNICA EN PRODUCCION, MANEJO INTEGRAL DEL CULTIVO Y MANTENIMIENTO DE SISTEMAS DE RIEGO</v>
      </c>
      <c r="C39" s="59" t="str">
        <f>+'INVERS FIJ INTANG'!D5</f>
        <v>Mes</v>
      </c>
      <c r="D39" s="51">
        <f>+'INVERS FIJ INTANG'!E5</f>
        <v>3</v>
      </c>
      <c r="E39" s="528">
        <f>+'INVERS FIJ INTANG'!G5</f>
        <v>6750</v>
      </c>
      <c r="F39" s="528">
        <f>+'INVERS FIJ INTANG'!G5-G39</f>
        <v>2250</v>
      </c>
      <c r="G39" s="528">
        <v>4500</v>
      </c>
      <c r="H39" s="528">
        <v>0</v>
      </c>
    </row>
    <row r="40" spans="2:8" s="525" customFormat="1" x14ac:dyDescent="0.25">
      <c r="B40" s="583"/>
      <c r="C40" s="584"/>
      <c r="D40" s="585"/>
      <c r="E40" s="586"/>
      <c r="F40" s="586"/>
      <c r="G40" s="586"/>
      <c r="H40" s="586"/>
    </row>
    <row r="41" spans="2:8" s="557" customFormat="1" ht="15" x14ac:dyDescent="0.25">
      <c r="B41" s="558" t="s">
        <v>100</v>
      </c>
      <c r="C41" s="559"/>
      <c r="D41" s="560"/>
      <c r="E41" s="561">
        <f>H41+F41+G41</f>
        <v>18865.729166666664</v>
      </c>
      <c r="F41" s="561">
        <v>0</v>
      </c>
      <c r="G41" s="561">
        <v>0</v>
      </c>
      <c r="H41" s="561">
        <f>+INVERSION!C10</f>
        <v>18865.729166666664</v>
      </c>
    </row>
    <row r="42" spans="2:8" s="31" customFormat="1" x14ac:dyDescent="0.25">
      <c r="B42" s="556" t="s">
        <v>348</v>
      </c>
      <c r="C42" s="66" t="s">
        <v>81</v>
      </c>
      <c r="D42" s="47">
        <v>1</v>
      </c>
      <c r="E42" s="533">
        <v>18865.729166666664</v>
      </c>
      <c r="F42" s="527">
        <v>0</v>
      </c>
      <c r="G42" s="527">
        <v>0</v>
      </c>
      <c r="H42" s="527">
        <v>18865.729166666664</v>
      </c>
    </row>
    <row r="43" spans="2:8" s="31" customFormat="1" x14ac:dyDescent="0.25">
      <c r="B43" s="556"/>
      <c r="C43" s="66"/>
      <c r="D43" s="47"/>
      <c r="E43" s="533"/>
      <c r="F43" s="527"/>
      <c r="G43" s="527"/>
      <c r="H43" s="527"/>
    </row>
    <row r="44" spans="2:8" s="31" customFormat="1" x14ac:dyDescent="0.25">
      <c r="B44" s="556"/>
      <c r="C44" s="66"/>
      <c r="D44" s="47"/>
      <c r="E44" s="533"/>
      <c r="F44" s="527"/>
      <c r="G44" s="527"/>
      <c r="H44" s="527"/>
    </row>
    <row r="45" spans="2:8" s="31" customFormat="1" x14ac:dyDescent="0.25">
      <c r="B45" s="556"/>
      <c r="C45" s="66"/>
      <c r="D45" s="47"/>
      <c r="E45" s="533"/>
      <c r="F45" s="527"/>
      <c r="G45" s="527"/>
      <c r="H45" s="527"/>
    </row>
    <row r="46" spans="2:8" s="31" customFormat="1" x14ac:dyDescent="0.25">
      <c r="B46" s="28"/>
      <c r="C46" s="66"/>
      <c r="D46" s="47"/>
      <c r="E46" s="533"/>
      <c r="F46" s="527"/>
      <c r="G46" s="527"/>
      <c r="H46" s="527"/>
    </row>
    <row r="47" spans="2:8" s="557" customFormat="1" ht="15" x14ac:dyDescent="0.25">
      <c r="B47" s="558" t="s">
        <v>344</v>
      </c>
      <c r="C47" s="559" t="s">
        <v>81</v>
      </c>
      <c r="D47" s="560">
        <v>1</v>
      </c>
      <c r="E47" s="562">
        <f>+INVERSION!C11</f>
        <v>8998.0934937500006</v>
      </c>
      <c r="F47" s="562">
        <f>+E47</f>
        <v>8998.0934937500006</v>
      </c>
      <c r="G47" s="562">
        <v>0</v>
      </c>
      <c r="H47" s="562">
        <v>0</v>
      </c>
    </row>
    <row r="48" spans="2:8" s="557" customFormat="1" ht="15" x14ac:dyDescent="0.25">
      <c r="B48" s="558" t="s">
        <v>336</v>
      </c>
      <c r="C48" s="559" t="s">
        <v>81</v>
      </c>
      <c r="D48" s="560">
        <v>1</v>
      </c>
      <c r="E48" s="561">
        <f>+INVERSION!C12</f>
        <v>5398.8560962499996</v>
      </c>
      <c r="F48" s="561">
        <f>+E48</f>
        <v>5398.8560962499996</v>
      </c>
      <c r="G48" s="561">
        <v>0</v>
      </c>
      <c r="H48" s="561">
        <v>0</v>
      </c>
    </row>
    <row r="49" spans="2:9" s="534" customFormat="1" ht="12.75" x14ac:dyDescent="0.25">
      <c r="B49" s="575" t="s">
        <v>102</v>
      </c>
      <c r="C49" s="576"/>
      <c r="D49" s="577"/>
      <c r="E49" s="578">
        <f>E23+E41+E47+E48</f>
        <v>213224.54863166666</v>
      </c>
      <c r="F49" s="578">
        <f>F23+F41+F47+F48</f>
        <v>158358.81946500001</v>
      </c>
      <c r="G49" s="578">
        <f>G23+G41+G47+G48</f>
        <v>17000</v>
      </c>
      <c r="H49" s="578">
        <f>H23+H41+H47+H48</f>
        <v>37865.729166666664</v>
      </c>
      <c r="I49" s="579">
        <f>+H49+G49</f>
        <v>54865.729166666664</v>
      </c>
    </row>
    <row r="50" spans="2:9" s="31" customFormat="1" x14ac:dyDescent="0.25"/>
    <row r="51" spans="2:9" x14ac:dyDescent="0.25">
      <c r="B51" s="39" t="s">
        <v>101</v>
      </c>
      <c r="C51" s="75"/>
      <c r="D51" s="62"/>
      <c r="E51" s="63">
        <v>1</v>
      </c>
      <c r="F51" s="61">
        <f>+F49/E49</f>
        <v>0.74268568268166857</v>
      </c>
      <c r="G51" s="63">
        <f>+G49/E49</f>
        <v>7.9728155641996631E-2</v>
      </c>
      <c r="H51" s="63">
        <f>+H49/E49</f>
        <v>0.17758616167633479</v>
      </c>
    </row>
    <row r="52" spans="2:9" x14ac:dyDescent="0.25">
      <c r="B52" s="42" t="s">
        <v>208</v>
      </c>
      <c r="C52" s="71"/>
      <c r="D52" s="43"/>
      <c r="E52" s="43"/>
      <c r="F52" s="44"/>
      <c r="G52" s="45"/>
      <c r="H52" s="46"/>
    </row>
    <row r="53" spans="2:9" x14ac:dyDescent="0.25">
      <c r="B53" s="64"/>
      <c r="C53" s="76"/>
      <c r="D53" s="45"/>
      <c r="E53" s="45"/>
      <c r="F53" s="45"/>
      <c r="G53" s="45"/>
      <c r="H53" s="46"/>
    </row>
    <row r="54" spans="2:9" x14ac:dyDescent="0.25">
      <c r="B54" s="64"/>
      <c r="C54" s="76"/>
      <c r="D54" s="45"/>
      <c r="E54" s="45"/>
      <c r="F54" s="45"/>
      <c r="G54" s="45"/>
      <c r="H54" s="46"/>
    </row>
    <row r="55" spans="2:9" x14ac:dyDescent="0.25">
      <c r="B55" s="64"/>
      <c r="C55" s="76"/>
      <c r="D55" s="45"/>
      <c r="E55" s="45"/>
      <c r="F55" s="45"/>
      <c r="G55" s="45"/>
      <c r="H55" s="46"/>
    </row>
    <row r="56" spans="2:9" x14ac:dyDescent="0.25">
      <c r="B56" s="64"/>
      <c r="C56" s="76"/>
      <c r="D56" s="45"/>
      <c r="E56" s="45"/>
      <c r="F56" s="45"/>
      <c r="G56" s="45"/>
      <c r="H56" s="46"/>
    </row>
    <row r="57" spans="2:9" x14ac:dyDescent="0.25">
      <c r="B57" s="64"/>
      <c r="C57" s="76"/>
      <c r="D57" s="45"/>
      <c r="E57" s="45"/>
      <c r="F57" s="45"/>
      <c r="G57" s="45"/>
      <c r="H57" s="46"/>
    </row>
    <row r="58" spans="2:9" x14ac:dyDescent="0.25">
      <c r="B58" s="64"/>
      <c r="C58" s="76"/>
      <c r="D58" s="45"/>
      <c r="E58" s="45"/>
      <c r="F58" s="45"/>
      <c r="G58" s="45"/>
      <c r="H58" s="46"/>
    </row>
    <row r="59" spans="2:9" x14ac:dyDescent="0.25">
      <c r="B59" s="64"/>
      <c r="C59" s="76"/>
      <c r="D59" s="45"/>
      <c r="E59" s="45"/>
      <c r="F59" s="45"/>
      <c r="G59" s="45"/>
      <c r="H59" s="46"/>
    </row>
    <row r="60" spans="2:9" x14ac:dyDescent="0.25">
      <c r="B60" s="64"/>
      <c r="C60" s="76"/>
      <c r="D60" s="45"/>
      <c r="E60" s="45"/>
      <c r="F60" s="45"/>
      <c r="G60" s="45"/>
      <c r="H60" s="46"/>
    </row>
    <row r="61" spans="2:9" x14ac:dyDescent="0.25">
      <c r="B61" s="64"/>
      <c r="C61" s="76"/>
      <c r="D61" s="45"/>
      <c r="E61" s="45"/>
      <c r="F61" s="45"/>
      <c r="G61" s="45"/>
      <c r="H61" s="46"/>
    </row>
    <row r="62" spans="2:9" x14ac:dyDescent="0.25">
      <c r="B62" s="64"/>
      <c r="C62" s="76"/>
      <c r="D62" s="45"/>
      <c r="E62" s="45"/>
      <c r="F62" s="45"/>
      <c r="G62" s="45"/>
      <c r="H62" s="46"/>
    </row>
    <row r="63" spans="2:9" x14ac:dyDescent="0.25">
      <c r="B63" s="64"/>
      <c r="C63" s="76"/>
      <c r="D63" s="45"/>
      <c r="E63" s="45"/>
      <c r="F63" s="45"/>
      <c r="G63" s="45"/>
      <c r="H63" s="46"/>
    </row>
    <row r="64" spans="2:9" x14ac:dyDescent="0.25">
      <c r="B64" s="64"/>
      <c r="C64" s="76"/>
      <c r="D64" s="45"/>
      <c r="E64" s="45"/>
      <c r="F64" s="45"/>
      <c r="G64" s="45"/>
      <c r="H64" s="46"/>
    </row>
    <row r="65" spans="2:8" x14ac:dyDescent="0.25">
      <c r="B65" s="64"/>
      <c r="C65" s="76"/>
      <c r="D65" s="45"/>
      <c r="E65" s="45"/>
      <c r="F65" s="45"/>
      <c r="G65" s="45"/>
      <c r="H65" s="46"/>
    </row>
    <row r="66" spans="2:8" x14ac:dyDescent="0.25">
      <c r="B66" s="64"/>
      <c r="C66" s="76"/>
      <c r="D66" s="45"/>
      <c r="E66" s="45"/>
      <c r="F66" s="45"/>
      <c r="G66" s="45"/>
      <c r="H66" s="46"/>
    </row>
    <row r="67" spans="2:8" x14ac:dyDescent="0.25">
      <c r="B67" s="64"/>
      <c r="C67" s="76"/>
      <c r="D67" s="45"/>
      <c r="E67" s="45"/>
      <c r="F67" s="45"/>
      <c r="G67" s="45"/>
      <c r="H67" s="46"/>
    </row>
    <row r="68" spans="2:8" x14ac:dyDescent="0.25">
      <c r="B68" s="64"/>
      <c r="C68" s="76"/>
      <c r="D68" s="45"/>
      <c r="E68" s="45"/>
      <c r="F68" s="45"/>
      <c r="G68" s="45"/>
      <c r="H68" s="46"/>
    </row>
    <row r="69" spans="2:8" x14ac:dyDescent="0.25">
      <c r="B69" s="64"/>
      <c r="C69" s="76"/>
      <c r="D69" s="45"/>
      <c r="E69" s="45"/>
      <c r="F69" s="45"/>
      <c r="G69" s="45"/>
      <c r="H69" s="46"/>
    </row>
    <row r="70" spans="2:8" x14ac:dyDescent="0.25">
      <c r="B70" s="64"/>
      <c r="C70" s="76"/>
      <c r="D70" s="45"/>
      <c r="E70" s="45"/>
      <c r="F70" s="45"/>
      <c r="G70" s="45"/>
      <c r="H70" s="46"/>
    </row>
    <row r="71" spans="2:8" x14ac:dyDescent="0.25">
      <c r="B71" s="64"/>
      <c r="C71" s="76"/>
      <c r="D71" s="45"/>
      <c r="E71" s="45"/>
      <c r="F71" s="45"/>
      <c r="G71" s="45"/>
      <c r="H71" s="46"/>
    </row>
    <row r="72" spans="2:8" x14ac:dyDescent="0.25">
      <c r="B72" s="64"/>
      <c r="C72" s="76"/>
      <c r="D72" s="45"/>
      <c r="E72" s="45"/>
      <c r="F72" s="45"/>
      <c r="G72" s="45"/>
      <c r="H72" s="46"/>
    </row>
    <row r="73" spans="2:8" x14ac:dyDescent="0.25">
      <c r="B73" s="64"/>
      <c r="C73" s="76"/>
      <c r="D73" s="45"/>
      <c r="E73" s="45"/>
      <c r="F73" s="45"/>
      <c r="G73" s="45"/>
      <c r="H73" s="46"/>
    </row>
    <row r="74" spans="2:8" x14ac:dyDescent="0.25">
      <c r="B74" s="64"/>
      <c r="C74" s="76"/>
      <c r="D74" s="45"/>
      <c r="E74" s="45"/>
      <c r="F74" s="45"/>
      <c r="G74" s="45"/>
      <c r="H74" s="46"/>
    </row>
    <row r="75" spans="2:8" x14ac:dyDescent="0.25">
      <c r="B75" s="64"/>
      <c r="C75" s="76"/>
      <c r="D75" s="45"/>
      <c r="E75" s="45"/>
      <c r="F75" s="45"/>
      <c r="G75" s="45"/>
      <c r="H75" s="46"/>
    </row>
    <row r="76" spans="2:8" x14ac:dyDescent="0.25">
      <c r="B76" s="64"/>
      <c r="C76" s="76"/>
      <c r="D76" s="45"/>
      <c r="E76" s="45"/>
      <c r="F76" s="45"/>
      <c r="G76" s="45"/>
      <c r="H76" s="46"/>
    </row>
    <row r="77" spans="2:8" x14ac:dyDescent="0.25">
      <c r="B77" s="64"/>
      <c r="C77" s="76"/>
      <c r="D77" s="45"/>
      <c r="E77" s="45"/>
      <c r="F77" s="45"/>
      <c r="G77" s="45"/>
      <c r="H77" s="46"/>
    </row>
    <row r="78" spans="2:8" x14ac:dyDescent="0.25">
      <c r="B78" s="64"/>
      <c r="C78" s="76"/>
      <c r="D78" s="45"/>
      <c r="E78" s="45"/>
      <c r="F78" s="45"/>
      <c r="G78" s="45"/>
      <c r="H78" s="46"/>
    </row>
    <row r="79" spans="2:8" x14ac:dyDescent="0.25">
      <c r="B79" s="64"/>
      <c r="C79" s="76"/>
      <c r="D79" s="45"/>
      <c r="E79" s="45"/>
      <c r="F79" s="45"/>
      <c r="G79" s="45"/>
      <c r="H79" s="46"/>
    </row>
    <row r="80" spans="2:8" x14ac:dyDescent="0.25">
      <c r="B80" s="64"/>
      <c r="C80" s="76"/>
      <c r="D80" s="45"/>
      <c r="E80" s="45"/>
      <c r="F80" s="45"/>
      <c r="G80" s="45"/>
      <c r="H80" s="46"/>
    </row>
    <row r="81" spans="2:8" x14ac:dyDescent="0.25">
      <c r="B81" s="64"/>
      <c r="C81" s="76"/>
      <c r="D81" s="45"/>
      <c r="E81" s="45"/>
      <c r="F81" s="45"/>
      <c r="G81" s="45"/>
      <c r="H81" s="46"/>
    </row>
    <row r="82" spans="2:8" x14ac:dyDescent="0.25">
      <c r="B82" s="64"/>
      <c r="C82" s="76"/>
      <c r="D82" s="45"/>
      <c r="E82" s="45"/>
      <c r="F82" s="45"/>
      <c r="G82" s="45"/>
      <c r="H82" s="46"/>
    </row>
    <row r="83" spans="2:8" x14ac:dyDescent="0.25">
      <c r="B83" s="64"/>
      <c r="C83" s="76"/>
      <c r="D83" s="45"/>
      <c r="E83" s="45"/>
      <c r="F83" s="45"/>
      <c r="G83" s="45"/>
      <c r="H83" s="46"/>
    </row>
    <row r="84" spans="2:8" x14ac:dyDescent="0.25">
      <c r="B84" s="64"/>
      <c r="C84" s="76"/>
      <c r="D84" s="45"/>
      <c r="E84" s="45"/>
      <c r="F84" s="45"/>
      <c r="G84" s="45"/>
      <c r="H84" s="46"/>
    </row>
    <row r="85" spans="2:8" x14ac:dyDescent="0.25">
      <c r="B85" s="64"/>
      <c r="C85" s="76"/>
      <c r="D85" s="45"/>
      <c r="E85" s="45"/>
      <c r="F85" s="45"/>
      <c r="G85" s="45"/>
      <c r="H85" s="46"/>
    </row>
    <row r="86" spans="2:8" x14ac:dyDescent="0.25">
      <c r="B86" s="64"/>
      <c r="C86" s="76"/>
      <c r="D86" s="45"/>
      <c r="E86" s="45"/>
      <c r="F86" s="45"/>
      <c r="G86" s="45"/>
      <c r="H86" s="46"/>
    </row>
    <row r="87" spans="2:8" x14ac:dyDescent="0.25">
      <c r="B87" s="64"/>
      <c r="C87" s="76"/>
      <c r="D87" s="45"/>
      <c r="E87" s="45"/>
      <c r="F87" s="45"/>
      <c r="G87" s="45"/>
      <c r="H87" s="46"/>
    </row>
    <row r="88" spans="2:8" x14ac:dyDescent="0.25">
      <c r="B88" s="64"/>
      <c r="C88" s="76"/>
      <c r="D88" s="45"/>
      <c r="E88" s="45"/>
      <c r="F88" s="45"/>
      <c r="G88" s="45"/>
      <c r="H88" s="46"/>
    </row>
    <row r="89" spans="2:8" x14ac:dyDescent="0.25">
      <c r="B89" s="64"/>
      <c r="C89" s="76"/>
      <c r="D89" s="45"/>
      <c r="E89" s="45"/>
      <c r="F89" s="45"/>
      <c r="G89" s="45"/>
      <c r="H89" s="46"/>
    </row>
    <row r="90" spans="2:8" x14ac:dyDescent="0.25">
      <c r="B90" s="64"/>
      <c r="C90" s="76"/>
      <c r="D90" s="45"/>
      <c r="E90" s="45"/>
      <c r="F90" s="45"/>
      <c r="G90" s="45"/>
      <c r="H90" s="46"/>
    </row>
    <row r="91" spans="2:8" x14ac:dyDescent="0.25">
      <c r="B91" s="64"/>
      <c r="C91" s="76"/>
      <c r="D91" s="45"/>
      <c r="E91" s="45"/>
      <c r="F91" s="45"/>
      <c r="G91" s="45"/>
      <c r="H91" s="46"/>
    </row>
    <row r="92" spans="2:8" x14ac:dyDescent="0.25">
      <c r="B92" s="64"/>
      <c r="C92" s="76"/>
      <c r="D92" s="45"/>
      <c r="E92" s="45"/>
      <c r="F92" s="45"/>
      <c r="G92" s="45"/>
      <c r="H92" s="46"/>
    </row>
    <row r="93" spans="2:8" x14ac:dyDescent="0.25">
      <c r="B93" s="64"/>
      <c r="C93" s="76"/>
      <c r="D93" s="45"/>
      <c r="E93" s="45"/>
      <c r="F93" s="45"/>
      <c r="G93" s="45"/>
      <c r="H93" s="46"/>
    </row>
    <row r="94" spans="2:8" x14ac:dyDescent="0.25">
      <c r="B94" s="64"/>
      <c r="C94" s="76"/>
      <c r="D94" s="45"/>
      <c r="E94" s="45"/>
      <c r="F94" s="45"/>
      <c r="G94" s="45"/>
      <c r="H94" s="46"/>
    </row>
    <row r="95" spans="2:8" x14ac:dyDescent="0.25">
      <c r="B95" s="64"/>
      <c r="C95" s="76"/>
      <c r="D95" s="45"/>
      <c r="E95" s="45"/>
      <c r="F95" s="45"/>
      <c r="G95" s="45"/>
      <c r="H95" s="46"/>
    </row>
    <row r="96" spans="2:8" x14ac:dyDescent="0.25">
      <c r="B96" s="64"/>
      <c r="C96" s="76"/>
      <c r="D96" s="45"/>
      <c r="E96" s="45"/>
      <c r="F96" s="45"/>
      <c r="G96" s="45"/>
      <c r="H96" s="46"/>
    </row>
    <row r="97" spans="2:8" x14ac:dyDescent="0.25">
      <c r="B97" s="64"/>
      <c r="C97" s="76"/>
      <c r="D97" s="45"/>
      <c r="E97" s="45"/>
      <c r="F97" s="45"/>
      <c r="G97" s="45"/>
      <c r="H97" s="46"/>
    </row>
    <row r="98" spans="2:8" x14ac:dyDescent="0.25">
      <c r="B98" s="64"/>
      <c r="C98" s="76"/>
      <c r="D98" s="45"/>
      <c r="E98" s="45"/>
      <c r="F98" s="45"/>
      <c r="G98" s="45"/>
      <c r="H98" s="46"/>
    </row>
    <row r="99" spans="2:8" x14ac:dyDescent="0.25">
      <c r="B99" s="64"/>
      <c r="C99" s="76"/>
      <c r="D99" s="45"/>
      <c r="E99" s="45"/>
      <c r="F99" s="45"/>
      <c r="G99" s="45"/>
      <c r="H99" s="46"/>
    </row>
    <row r="100" spans="2:8" x14ac:dyDescent="0.25">
      <c r="B100" s="64"/>
      <c r="C100" s="76"/>
      <c r="D100" s="45"/>
      <c r="E100" s="45"/>
      <c r="F100" s="45"/>
      <c r="G100" s="45"/>
      <c r="H100" s="46"/>
    </row>
    <row r="101" spans="2:8" x14ac:dyDescent="0.25">
      <c r="B101" s="64"/>
      <c r="C101" s="76"/>
      <c r="D101" s="45"/>
      <c r="E101" s="45"/>
      <c r="F101" s="45"/>
      <c r="G101" s="45"/>
      <c r="H101" s="46"/>
    </row>
    <row r="102" spans="2:8" x14ac:dyDescent="0.25">
      <c r="B102" s="64"/>
      <c r="C102" s="76"/>
      <c r="D102" s="45"/>
      <c r="E102" s="45"/>
      <c r="F102" s="45"/>
      <c r="G102" s="45"/>
      <c r="H102" s="46"/>
    </row>
    <row r="103" spans="2:8" x14ac:dyDescent="0.25">
      <c r="B103" s="64"/>
      <c r="C103" s="76"/>
      <c r="D103" s="45"/>
      <c r="E103" s="45"/>
      <c r="F103" s="45"/>
      <c r="G103" s="45"/>
      <c r="H103" s="46"/>
    </row>
    <row r="104" spans="2:8" x14ac:dyDescent="0.25">
      <c r="B104" s="64"/>
      <c r="C104" s="76"/>
      <c r="D104" s="45"/>
      <c r="E104" s="45"/>
      <c r="F104" s="45"/>
      <c r="G104" s="45"/>
      <c r="H104" s="46"/>
    </row>
    <row r="105" spans="2:8" x14ac:dyDescent="0.25">
      <c r="B105" s="64"/>
      <c r="C105" s="76"/>
      <c r="D105" s="45"/>
      <c r="E105" s="45"/>
      <c r="F105" s="45"/>
      <c r="G105" s="45"/>
      <c r="H105" s="46"/>
    </row>
    <row r="106" spans="2:8" x14ac:dyDescent="0.25">
      <c r="B106" s="64"/>
      <c r="C106" s="76"/>
      <c r="D106" s="45"/>
      <c r="E106" s="45"/>
      <c r="F106" s="45"/>
      <c r="G106" s="45"/>
      <c r="H106" s="46"/>
    </row>
    <row r="107" spans="2:8" x14ac:dyDescent="0.25">
      <c r="B107" s="64"/>
      <c r="C107" s="76"/>
      <c r="D107" s="45"/>
      <c r="E107" s="45"/>
      <c r="F107" s="45"/>
      <c r="G107" s="45"/>
      <c r="H107" s="46"/>
    </row>
    <row r="108" spans="2:8" x14ac:dyDescent="0.25">
      <c r="B108" s="64"/>
      <c r="C108" s="76"/>
      <c r="D108" s="45"/>
      <c r="E108" s="45"/>
      <c r="F108" s="45"/>
      <c r="G108" s="45"/>
      <c r="H108" s="46"/>
    </row>
    <row r="109" spans="2:8" x14ac:dyDescent="0.25">
      <c r="B109" s="64"/>
      <c r="C109" s="76"/>
      <c r="D109" s="45"/>
      <c r="E109" s="45"/>
      <c r="F109" s="45"/>
      <c r="G109" s="45"/>
      <c r="H109" s="46"/>
    </row>
    <row r="110" spans="2:8" x14ac:dyDescent="0.25">
      <c r="B110" s="64"/>
      <c r="C110" s="76"/>
      <c r="D110" s="45"/>
      <c r="E110" s="45"/>
      <c r="F110" s="45"/>
      <c r="G110" s="45"/>
      <c r="H110" s="46"/>
    </row>
    <row r="111" spans="2:8" x14ac:dyDescent="0.25">
      <c r="B111" s="64"/>
      <c r="C111" s="76"/>
      <c r="D111" s="45"/>
      <c r="E111" s="45"/>
      <c r="F111" s="45"/>
      <c r="G111" s="45"/>
      <c r="H111" s="46"/>
    </row>
    <row r="112" spans="2:8" x14ac:dyDescent="0.25">
      <c r="B112" s="64"/>
      <c r="C112" s="76"/>
      <c r="D112" s="45"/>
      <c r="E112" s="45"/>
      <c r="F112" s="45"/>
      <c r="G112" s="45"/>
      <c r="H112" s="46"/>
    </row>
    <row r="113" spans="2:8" x14ac:dyDescent="0.25">
      <c r="B113" s="64"/>
      <c r="C113" s="76"/>
      <c r="D113" s="45"/>
      <c r="E113" s="45"/>
      <c r="F113" s="45"/>
      <c r="G113" s="45"/>
      <c r="H113" s="46"/>
    </row>
    <row r="114" spans="2:8" x14ac:dyDescent="0.25">
      <c r="B114" s="64"/>
      <c r="C114" s="76"/>
      <c r="D114" s="45"/>
      <c r="E114" s="45"/>
      <c r="F114" s="45"/>
      <c r="G114" s="45"/>
      <c r="H114" s="46"/>
    </row>
    <row r="115" spans="2:8" x14ac:dyDescent="0.25">
      <c r="B115" s="64"/>
      <c r="C115" s="76"/>
      <c r="D115" s="45"/>
      <c r="E115" s="45"/>
      <c r="F115" s="45"/>
      <c r="G115" s="45"/>
      <c r="H115" s="46"/>
    </row>
    <row r="116" spans="2:8" x14ac:dyDescent="0.25">
      <c r="B116" s="64"/>
      <c r="C116" s="76"/>
      <c r="D116" s="45"/>
      <c r="E116" s="45"/>
      <c r="F116" s="45"/>
      <c r="G116" s="45"/>
      <c r="H116" s="46"/>
    </row>
    <row r="117" spans="2:8" x14ac:dyDescent="0.25">
      <c r="B117" s="64"/>
      <c r="C117" s="76"/>
      <c r="D117" s="45"/>
      <c r="E117" s="45"/>
      <c r="F117" s="45"/>
      <c r="G117" s="45"/>
      <c r="H117" s="46"/>
    </row>
    <row r="118" spans="2:8" x14ac:dyDescent="0.25">
      <c r="B118" s="64"/>
      <c r="C118" s="76"/>
      <c r="D118" s="45"/>
      <c r="E118" s="45"/>
      <c r="F118" s="45"/>
      <c r="G118" s="45"/>
      <c r="H118" s="46"/>
    </row>
    <row r="119" spans="2:8" x14ac:dyDescent="0.25">
      <c r="B119" s="64"/>
      <c r="C119" s="76"/>
      <c r="D119" s="45"/>
      <c r="E119" s="45"/>
      <c r="F119" s="45"/>
      <c r="G119" s="45"/>
      <c r="H119" s="46"/>
    </row>
    <row r="120" spans="2:8" x14ac:dyDescent="0.25">
      <c r="B120" s="64"/>
      <c r="C120" s="76"/>
      <c r="D120" s="45"/>
      <c r="E120" s="45"/>
      <c r="F120" s="45"/>
      <c r="G120" s="45"/>
      <c r="H120" s="46"/>
    </row>
    <row r="121" spans="2:8" x14ac:dyDescent="0.25">
      <c r="B121" s="64"/>
      <c r="C121" s="76"/>
      <c r="D121" s="45"/>
      <c r="E121" s="45"/>
      <c r="F121" s="45"/>
      <c r="G121" s="45"/>
      <c r="H121" s="46"/>
    </row>
    <row r="122" spans="2:8" x14ac:dyDescent="0.25">
      <c r="B122" s="64"/>
      <c r="C122" s="76"/>
      <c r="D122" s="45"/>
      <c r="E122" s="45"/>
      <c r="F122" s="45"/>
      <c r="G122" s="45"/>
      <c r="H122" s="46"/>
    </row>
    <row r="123" spans="2:8" x14ac:dyDescent="0.25">
      <c r="B123" s="64"/>
      <c r="C123" s="76"/>
      <c r="D123" s="45"/>
      <c r="E123" s="45"/>
      <c r="F123" s="45"/>
      <c r="G123" s="45"/>
      <c r="H123" s="46"/>
    </row>
    <row r="124" spans="2:8" x14ac:dyDescent="0.25">
      <c r="B124" s="64"/>
      <c r="C124" s="76"/>
      <c r="D124" s="45"/>
      <c r="E124" s="45"/>
      <c r="F124" s="45"/>
      <c r="G124" s="45"/>
      <c r="H124" s="46"/>
    </row>
    <row r="125" spans="2:8" x14ac:dyDescent="0.25">
      <c r="B125" s="64"/>
      <c r="C125" s="76"/>
      <c r="D125" s="45"/>
      <c r="E125" s="45"/>
      <c r="F125" s="45"/>
      <c r="G125" s="45"/>
      <c r="H125" s="46"/>
    </row>
    <row r="126" spans="2:8" x14ac:dyDescent="0.25">
      <c r="B126" s="64"/>
      <c r="C126" s="76"/>
      <c r="D126" s="45"/>
      <c r="E126" s="45"/>
      <c r="F126" s="45"/>
      <c r="G126" s="45"/>
      <c r="H126" s="46"/>
    </row>
    <row r="127" spans="2:8" x14ac:dyDescent="0.25">
      <c r="B127" s="64"/>
      <c r="C127" s="76"/>
      <c r="D127" s="45"/>
      <c r="E127" s="45"/>
      <c r="F127" s="45"/>
      <c r="G127" s="45"/>
      <c r="H127" s="46"/>
    </row>
    <row r="128" spans="2:8" x14ac:dyDescent="0.25">
      <c r="B128" s="64"/>
      <c r="C128" s="76"/>
      <c r="D128" s="45"/>
      <c r="E128" s="45"/>
      <c r="F128" s="45"/>
      <c r="G128" s="45"/>
      <c r="H128" s="46"/>
    </row>
    <row r="129" spans="2:8" x14ac:dyDescent="0.25">
      <c r="B129" s="64"/>
      <c r="C129" s="76"/>
      <c r="D129" s="45"/>
      <c r="E129" s="45"/>
      <c r="F129" s="45"/>
      <c r="G129" s="45"/>
      <c r="H129" s="46"/>
    </row>
    <row r="130" spans="2:8" x14ac:dyDescent="0.25">
      <c r="B130" s="64"/>
      <c r="C130" s="76"/>
      <c r="D130" s="45"/>
      <c r="E130" s="45"/>
      <c r="F130" s="45"/>
      <c r="G130" s="45"/>
      <c r="H130" s="46"/>
    </row>
    <row r="131" spans="2:8" x14ac:dyDescent="0.25">
      <c r="B131" s="64"/>
      <c r="C131" s="76"/>
      <c r="D131" s="45"/>
      <c r="E131" s="45"/>
      <c r="F131" s="45"/>
      <c r="G131" s="45"/>
      <c r="H131" s="46"/>
    </row>
    <row r="132" spans="2:8" x14ac:dyDescent="0.25">
      <c r="B132" s="64"/>
      <c r="C132" s="76"/>
      <c r="D132" s="45"/>
      <c r="E132" s="45"/>
      <c r="F132" s="45"/>
      <c r="G132" s="45"/>
      <c r="H132" s="46"/>
    </row>
    <row r="133" spans="2:8" x14ac:dyDescent="0.25">
      <c r="B133" s="64"/>
      <c r="C133" s="76"/>
      <c r="D133" s="45"/>
      <c r="E133" s="45"/>
      <c r="F133" s="45"/>
      <c r="G133" s="45"/>
      <c r="H133" s="46"/>
    </row>
    <row r="134" spans="2:8" x14ac:dyDescent="0.25">
      <c r="B134" s="64"/>
      <c r="C134" s="76"/>
      <c r="D134" s="45"/>
      <c r="E134" s="45"/>
      <c r="F134" s="45"/>
      <c r="G134" s="45"/>
      <c r="H134" s="46"/>
    </row>
    <row r="135" spans="2:8" x14ac:dyDescent="0.25">
      <c r="B135" s="64"/>
      <c r="C135" s="76"/>
      <c r="D135" s="45"/>
      <c r="E135" s="45"/>
      <c r="F135" s="45"/>
      <c r="G135" s="45"/>
      <c r="H135" s="46"/>
    </row>
    <row r="136" spans="2:8" x14ac:dyDescent="0.25">
      <c r="B136" s="64"/>
      <c r="C136" s="76"/>
      <c r="D136" s="45"/>
      <c r="E136" s="45"/>
      <c r="F136" s="45"/>
      <c r="G136" s="45"/>
      <c r="H136" s="46"/>
    </row>
    <row r="137" spans="2:8" x14ac:dyDescent="0.25">
      <c r="B137" s="64"/>
      <c r="C137" s="76"/>
      <c r="D137" s="45"/>
      <c r="E137" s="45"/>
      <c r="F137" s="45"/>
      <c r="G137" s="45"/>
      <c r="H137" s="46"/>
    </row>
    <row r="138" spans="2:8" x14ac:dyDescent="0.25">
      <c r="B138" s="64"/>
      <c r="C138" s="76"/>
      <c r="D138" s="45"/>
      <c r="E138" s="45"/>
      <c r="F138" s="45"/>
      <c r="G138" s="45"/>
      <c r="H138" s="46"/>
    </row>
    <row r="139" spans="2:8" x14ac:dyDescent="0.25">
      <c r="B139" s="64"/>
      <c r="C139" s="76"/>
      <c r="D139" s="45"/>
      <c r="E139" s="45"/>
      <c r="F139" s="45"/>
      <c r="G139" s="45"/>
      <c r="H139" s="46"/>
    </row>
    <row r="140" spans="2:8" x14ac:dyDescent="0.25">
      <c r="B140" s="64"/>
      <c r="C140" s="76"/>
      <c r="D140" s="45"/>
      <c r="E140" s="45"/>
      <c r="F140" s="45"/>
      <c r="G140" s="45"/>
      <c r="H140" s="46"/>
    </row>
    <row r="141" spans="2:8" x14ac:dyDescent="0.25">
      <c r="B141" s="64"/>
      <c r="C141" s="76"/>
      <c r="D141" s="45"/>
      <c r="E141" s="45"/>
      <c r="F141" s="45"/>
      <c r="G141" s="45"/>
      <c r="H141" s="46"/>
    </row>
    <row r="142" spans="2:8" x14ac:dyDescent="0.25">
      <c r="B142" s="64"/>
      <c r="C142" s="76"/>
      <c r="D142" s="45"/>
      <c r="E142" s="45"/>
      <c r="F142" s="45"/>
      <c r="G142" s="45"/>
      <c r="H142" s="46"/>
    </row>
    <row r="143" spans="2:8" x14ac:dyDescent="0.25">
      <c r="B143" s="64"/>
      <c r="C143" s="76"/>
      <c r="D143" s="45"/>
      <c r="E143" s="45"/>
      <c r="F143" s="45"/>
      <c r="G143" s="45"/>
      <c r="H143" s="46"/>
    </row>
    <row r="144" spans="2:8" x14ac:dyDescent="0.25">
      <c r="B144" s="64"/>
      <c r="C144" s="76"/>
      <c r="D144" s="45"/>
      <c r="E144" s="45"/>
      <c r="F144" s="45"/>
      <c r="G144" s="45"/>
      <c r="H144" s="46"/>
    </row>
    <row r="145" spans="2:8" x14ac:dyDescent="0.25">
      <c r="B145" s="64"/>
      <c r="C145" s="76"/>
      <c r="D145" s="45"/>
      <c r="E145" s="45"/>
      <c r="F145" s="45"/>
      <c r="G145" s="45"/>
      <c r="H145" s="46"/>
    </row>
    <row r="146" spans="2:8" x14ac:dyDescent="0.25">
      <c r="B146" s="64"/>
      <c r="C146" s="76"/>
      <c r="D146" s="65"/>
      <c r="E146" s="65"/>
      <c r="F146" s="65"/>
      <c r="G146" s="65"/>
    </row>
    <row r="147" spans="2:8" x14ac:dyDescent="0.25">
      <c r="B147" s="64"/>
      <c r="C147" s="76"/>
      <c r="D147" s="65"/>
      <c r="E147" s="65"/>
      <c r="F147" s="65"/>
      <c r="G147" s="65"/>
    </row>
    <row r="148" spans="2:8" x14ac:dyDescent="0.25">
      <c r="B148" s="64"/>
      <c r="C148" s="76"/>
      <c r="D148" s="65"/>
      <c r="E148" s="65"/>
      <c r="F148" s="65"/>
      <c r="G148" s="65"/>
    </row>
    <row r="149" spans="2:8" x14ac:dyDescent="0.25">
      <c r="B149" s="64"/>
      <c r="C149" s="76"/>
      <c r="D149" s="65"/>
      <c r="E149" s="65"/>
      <c r="F149" s="65"/>
      <c r="G149" s="65"/>
    </row>
    <row r="150" spans="2:8" x14ac:dyDescent="0.25">
      <c r="B150" s="64"/>
      <c r="C150" s="76"/>
      <c r="D150" s="65"/>
      <c r="E150" s="65"/>
      <c r="F150" s="65"/>
      <c r="G150" s="65"/>
    </row>
    <row r="151" spans="2:8" x14ac:dyDescent="0.25">
      <c r="B151" s="64"/>
      <c r="C151" s="76"/>
      <c r="D151" s="65"/>
      <c r="E151" s="65"/>
      <c r="F151" s="65"/>
      <c r="G151" s="65"/>
    </row>
    <row r="152" spans="2:8" x14ac:dyDescent="0.25">
      <c r="B152" s="64"/>
      <c r="C152" s="76"/>
      <c r="D152" s="65"/>
      <c r="E152" s="65"/>
      <c r="F152" s="65"/>
      <c r="G152" s="65"/>
    </row>
    <row r="153" spans="2:8" x14ac:dyDescent="0.25">
      <c r="B153" s="64"/>
      <c r="C153" s="76"/>
      <c r="D153" s="65"/>
      <c r="E153" s="65"/>
      <c r="F153" s="65"/>
      <c r="G153" s="65"/>
    </row>
    <row r="154" spans="2:8" x14ac:dyDescent="0.25">
      <c r="B154" s="64"/>
      <c r="C154" s="76"/>
      <c r="D154" s="65"/>
      <c r="E154" s="65"/>
      <c r="F154" s="65"/>
      <c r="G154" s="65"/>
    </row>
    <row r="155" spans="2:8" x14ac:dyDescent="0.25">
      <c r="B155" s="64"/>
      <c r="C155" s="76"/>
      <c r="D155" s="65"/>
      <c r="E155" s="65"/>
      <c r="F155" s="65"/>
      <c r="G155" s="65"/>
    </row>
    <row r="156" spans="2:8" x14ac:dyDescent="0.25">
      <c r="B156" s="64"/>
      <c r="C156" s="76"/>
      <c r="D156" s="65"/>
      <c r="E156" s="65"/>
      <c r="F156" s="65"/>
      <c r="G156" s="65"/>
    </row>
    <row r="157" spans="2:8" x14ac:dyDescent="0.25">
      <c r="B157" s="64"/>
      <c r="C157" s="76"/>
      <c r="D157" s="65"/>
      <c r="E157" s="65"/>
      <c r="F157" s="65"/>
      <c r="G157" s="65"/>
    </row>
    <row r="158" spans="2:8" x14ac:dyDescent="0.25">
      <c r="B158" s="64"/>
      <c r="C158" s="76"/>
      <c r="D158" s="65"/>
      <c r="E158" s="65"/>
      <c r="F158" s="65"/>
      <c r="G158" s="65"/>
    </row>
    <row r="159" spans="2:8" x14ac:dyDescent="0.25">
      <c r="B159" s="64"/>
      <c r="C159" s="76"/>
      <c r="D159" s="65"/>
      <c r="E159" s="65"/>
      <c r="F159" s="65"/>
      <c r="G159" s="65"/>
    </row>
    <row r="160" spans="2:8" x14ac:dyDescent="0.25">
      <c r="B160" s="64"/>
      <c r="C160" s="76"/>
      <c r="D160" s="65"/>
      <c r="E160" s="65"/>
      <c r="F160" s="65"/>
      <c r="G160" s="65"/>
    </row>
    <row r="161" spans="2:7" x14ac:dyDescent="0.25">
      <c r="B161" s="64"/>
      <c r="C161" s="76"/>
      <c r="D161" s="65"/>
      <c r="E161" s="65"/>
      <c r="F161" s="65"/>
      <c r="G161" s="65"/>
    </row>
    <row r="162" spans="2:7" x14ac:dyDescent="0.25">
      <c r="B162" s="64"/>
      <c r="C162" s="76"/>
      <c r="D162" s="65"/>
      <c r="E162" s="65"/>
      <c r="F162" s="65"/>
      <c r="G162" s="65"/>
    </row>
    <row r="163" spans="2:7" x14ac:dyDescent="0.25">
      <c r="B163" s="64"/>
      <c r="C163" s="76"/>
      <c r="D163" s="65"/>
      <c r="E163" s="65"/>
      <c r="F163" s="65"/>
      <c r="G163" s="65"/>
    </row>
    <row r="164" spans="2:7" x14ac:dyDescent="0.25">
      <c r="B164" s="64"/>
      <c r="C164" s="76"/>
      <c r="D164" s="65"/>
      <c r="E164" s="65"/>
      <c r="F164" s="65"/>
      <c r="G164" s="65"/>
    </row>
    <row r="165" spans="2:7" x14ac:dyDescent="0.25">
      <c r="B165" s="64"/>
      <c r="C165" s="76"/>
      <c r="D165" s="65"/>
      <c r="E165" s="65"/>
      <c r="F165" s="65"/>
      <c r="G165" s="65"/>
    </row>
    <row r="166" spans="2:7" x14ac:dyDescent="0.25">
      <c r="B166" s="64"/>
      <c r="C166" s="76"/>
      <c r="D166" s="65"/>
      <c r="E166" s="65"/>
      <c r="F166" s="65"/>
      <c r="G166" s="65"/>
    </row>
    <row r="167" spans="2:7" x14ac:dyDescent="0.25">
      <c r="B167" s="64"/>
      <c r="C167" s="76"/>
      <c r="D167" s="65"/>
      <c r="E167" s="65"/>
      <c r="F167" s="65"/>
      <c r="G167" s="65"/>
    </row>
    <row r="168" spans="2:7" x14ac:dyDescent="0.25">
      <c r="B168" s="64"/>
      <c r="C168" s="76"/>
      <c r="D168" s="65"/>
      <c r="E168" s="65"/>
      <c r="F168" s="65"/>
      <c r="G168" s="65"/>
    </row>
    <row r="169" spans="2:7" x14ac:dyDescent="0.25">
      <c r="B169" s="64"/>
      <c r="C169" s="76"/>
      <c r="D169" s="65"/>
      <c r="E169" s="65"/>
      <c r="F169" s="65"/>
      <c r="G169" s="65"/>
    </row>
    <row r="170" spans="2:7" x14ac:dyDescent="0.25">
      <c r="B170" s="64"/>
      <c r="C170" s="76"/>
      <c r="D170" s="65"/>
      <c r="E170" s="65"/>
      <c r="F170" s="65"/>
      <c r="G170" s="65"/>
    </row>
    <row r="171" spans="2:7" x14ac:dyDescent="0.25">
      <c r="B171" s="64"/>
      <c r="C171" s="76"/>
      <c r="D171" s="65"/>
      <c r="E171" s="65"/>
      <c r="F171" s="65"/>
      <c r="G171" s="65"/>
    </row>
    <row r="172" spans="2:7" x14ac:dyDescent="0.25">
      <c r="B172" s="64"/>
      <c r="C172" s="76"/>
      <c r="D172" s="65"/>
      <c r="E172" s="65"/>
      <c r="F172" s="65"/>
      <c r="G172" s="65"/>
    </row>
    <row r="173" spans="2:7" x14ac:dyDescent="0.25">
      <c r="B173" s="64"/>
      <c r="C173" s="76"/>
      <c r="D173" s="65"/>
      <c r="E173" s="65"/>
      <c r="F173" s="65"/>
      <c r="G173" s="65"/>
    </row>
    <row r="174" spans="2:7" x14ac:dyDescent="0.25">
      <c r="B174" s="64"/>
      <c r="C174" s="76"/>
      <c r="D174" s="65"/>
      <c r="E174" s="65"/>
      <c r="F174" s="65"/>
      <c r="G174" s="65"/>
    </row>
    <row r="175" spans="2:7" x14ac:dyDescent="0.25">
      <c r="B175" s="64"/>
      <c r="C175" s="76"/>
      <c r="D175" s="65"/>
      <c r="E175" s="65"/>
      <c r="F175" s="65"/>
      <c r="G175" s="65"/>
    </row>
    <row r="176" spans="2:7" x14ac:dyDescent="0.25">
      <c r="B176" s="64"/>
      <c r="C176" s="76"/>
      <c r="D176" s="65"/>
      <c r="E176" s="65"/>
      <c r="F176" s="65"/>
      <c r="G176" s="65"/>
    </row>
    <row r="177" spans="2:7" x14ac:dyDescent="0.25">
      <c r="B177" s="64"/>
      <c r="C177" s="76"/>
      <c r="D177" s="65"/>
      <c r="E177" s="65"/>
      <c r="F177" s="65"/>
      <c r="G177" s="65"/>
    </row>
    <row r="178" spans="2:7" x14ac:dyDescent="0.25">
      <c r="B178" s="64"/>
      <c r="C178" s="76"/>
      <c r="D178" s="65"/>
      <c r="E178" s="65"/>
      <c r="F178" s="65"/>
      <c r="G178" s="65"/>
    </row>
    <row r="179" spans="2:7" x14ac:dyDescent="0.25">
      <c r="B179" s="64"/>
      <c r="C179" s="76"/>
      <c r="D179" s="65"/>
      <c r="E179" s="65"/>
      <c r="F179" s="65"/>
      <c r="G179" s="65"/>
    </row>
    <row r="180" spans="2:7" x14ac:dyDescent="0.25">
      <c r="B180" s="64"/>
      <c r="C180" s="76"/>
      <c r="D180" s="65"/>
      <c r="E180" s="65"/>
      <c r="F180" s="65"/>
      <c r="G180" s="65"/>
    </row>
    <row r="181" spans="2:7" x14ac:dyDescent="0.25">
      <c r="B181" s="64"/>
      <c r="C181" s="76"/>
      <c r="D181" s="65"/>
      <c r="E181" s="65"/>
      <c r="F181" s="65"/>
      <c r="G181" s="65"/>
    </row>
    <row r="182" spans="2:7" x14ac:dyDescent="0.25">
      <c r="B182" s="64"/>
      <c r="C182" s="76"/>
      <c r="D182" s="65"/>
      <c r="E182" s="65"/>
      <c r="F182" s="65"/>
      <c r="G182" s="65"/>
    </row>
    <row r="183" spans="2:7" x14ac:dyDescent="0.25">
      <c r="B183" s="64"/>
      <c r="C183" s="76"/>
      <c r="D183" s="65"/>
      <c r="E183" s="65"/>
      <c r="F183" s="65"/>
      <c r="G183" s="65"/>
    </row>
    <row r="184" spans="2:7" x14ac:dyDescent="0.25">
      <c r="B184" s="64"/>
      <c r="C184" s="76"/>
      <c r="D184" s="65"/>
      <c r="E184" s="65"/>
      <c r="F184" s="65"/>
      <c r="G184" s="65"/>
    </row>
    <row r="185" spans="2:7" x14ac:dyDescent="0.25">
      <c r="B185" s="64"/>
      <c r="C185" s="76"/>
      <c r="D185" s="65"/>
      <c r="E185" s="65"/>
      <c r="F185" s="65"/>
      <c r="G185" s="65"/>
    </row>
    <row r="186" spans="2:7" x14ac:dyDescent="0.25">
      <c r="B186" s="64"/>
      <c r="C186" s="76"/>
      <c r="D186" s="65"/>
      <c r="E186" s="65"/>
      <c r="F186" s="65"/>
      <c r="G186" s="65"/>
    </row>
    <row r="187" spans="2:7" x14ac:dyDescent="0.25">
      <c r="B187" s="64"/>
      <c r="C187" s="76"/>
      <c r="D187" s="65"/>
      <c r="E187" s="65"/>
      <c r="F187" s="65"/>
      <c r="G187" s="65"/>
    </row>
    <row r="188" spans="2:7" x14ac:dyDescent="0.25">
      <c r="B188" s="64"/>
      <c r="C188" s="76"/>
      <c r="D188" s="65"/>
      <c r="E188" s="65"/>
      <c r="F188" s="65"/>
      <c r="G188" s="65"/>
    </row>
    <row r="189" spans="2:7" x14ac:dyDescent="0.25">
      <c r="B189" s="64"/>
      <c r="C189" s="76"/>
      <c r="D189" s="65"/>
      <c r="E189" s="65"/>
      <c r="F189" s="65"/>
      <c r="G189" s="65"/>
    </row>
    <row r="190" spans="2:7" x14ac:dyDescent="0.25">
      <c r="B190" s="64"/>
      <c r="C190" s="76"/>
      <c r="D190" s="65"/>
      <c r="E190" s="65"/>
      <c r="F190" s="65"/>
      <c r="G190" s="65"/>
    </row>
    <row r="191" spans="2:7" x14ac:dyDescent="0.25">
      <c r="B191" s="64"/>
      <c r="C191" s="76"/>
      <c r="D191" s="65"/>
      <c r="E191" s="65"/>
      <c r="F191" s="65"/>
      <c r="G191" s="65"/>
    </row>
    <row r="192" spans="2:7" x14ac:dyDescent="0.25">
      <c r="B192" s="64"/>
      <c r="C192" s="76"/>
      <c r="D192" s="65"/>
      <c r="E192" s="65"/>
      <c r="F192" s="65"/>
      <c r="G192" s="65"/>
    </row>
    <row r="193" spans="2:7" x14ac:dyDescent="0.25">
      <c r="B193" s="64"/>
      <c r="C193" s="76"/>
      <c r="D193" s="65"/>
      <c r="E193" s="65"/>
      <c r="F193" s="65"/>
      <c r="G193" s="65"/>
    </row>
    <row r="194" spans="2:7" x14ac:dyDescent="0.25">
      <c r="B194" s="64"/>
      <c r="C194" s="76"/>
      <c r="D194" s="65"/>
      <c r="E194" s="65"/>
      <c r="F194" s="65"/>
      <c r="G194" s="65"/>
    </row>
    <row r="195" spans="2:7" x14ac:dyDescent="0.25">
      <c r="B195" s="64"/>
      <c r="C195" s="76"/>
      <c r="D195" s="65"/>
      <c r="E195" s="65"/>
      <c r="F195" s="65"/>
      <c r="G195" s="65"/>
    </row>
    <row r="196" spans="2:7" x14ac:dyDescent="0.25">
      <c r="B196" s="64"/>
      <c r="C196" s="76"/>
      <c r="D196" s="65"/>
      <c r="E196" s="65"/>
      <c r="F196" s="65"/>
      <c r="G196" s="65"/>
    </row>
    <row r="197" spans="2:7" x14ac:dyDescent="0.25">
      <c r="B197" s="64"/>
      <c r="C197" s="76"/>
      <c r="D197" s="65"/>
      <c r="E197" s="65"/>
      <c r="F197" s="65"/>
      <c r="G197" s="65"/>
    </row>
    <row r="198" spans="2:7" x14ac:dyDescent="0.25">
      <c r="B198" s="64"/>
      <c r="C198" s="76"/>
      <c r="D198" s="65"/>
      <c r="E198" s="65"/>
      <c r="F198" s="65"/>
      <c r="G198" s="65"/>
    </row>
    <row r="199" spans="2:7" x14ac:dyDescent="0.25">
      <c r="B199" s="64"/>
      <c r="C199" s="76"/>
      <c r="D199" s="65"/>
      <c r="E199" s="65"/>
      <c r="F199" s="65"/>
      <c r="G199" s="65"/>
    </row>
    <row r="200" spans="2:7" x14ac:dyDescent="0.25">
      <c r="B200" s="64"/>
      <c r="C200" s="76"/>
      <c r="D200" s="65"/>
      <c r="E200" s="65"/>
      <c r="F200" s="65"/>
      <c r="G200" s="65"/>
    </row>
    <row r="201" spans="2:7" x14ac:dyDescent="0.25">
      <c r="B201" s="64"/>
      <c r="C201" s="76"/>
      <c r="D201" s="65"/>
      <c r="E201" s="65"/>
      <c r="F201" s="65"/>
      <c r="G201" s="65"/>
    </row>
    <row r="202" spans="2:7" x14ac:dyDescent="0.25">
      <c r="B202" s="64"/>
      <c r="C202" s="76"/>
      <c r="D202" s="65"/>
      <c r="E202" s="65"/>
      <c r="F202" s="65"/>
      <c r="G202" s="65"/>
    </row>
    <row r="203" spans="2:7" x14ac:dyDescent="0.25">
      <c r="B203" s="64"/>
      <c r="C203" s="76"/>
      <c r="D203" s="65"/>
      <c r="E203" s="65"/>
      <c r="F203" s="65"/>
      <c r="G203" s="65"/>
    </row>
    <row r="204" spans="2:7" x14ac:dyDescent="0.25">
      <c r="B204" s="64"/>
      <c r="C204" s="76"/>
      <c r="D204" s="65"/>
      <c r="E204" s="65"/>
      <c r="F204" s="65"/>
      <c r="G204" s="65"/>
    </row>
    <row r="205" spans="2:7" x14ac:dyDescent="0.25">
      <c r="B205" s="64"/>
      <c r="C205" s="76"/>
      <c r="D205" s="65"/>
      <c r="E205" s="65"/>
      <c r="F205" s="65"/>
      <c r="G205" s="65"/>
    </row>
    <row r="206" spans="2:7" x14ac:dyDescent="0.25">
      <c r="B206" s="64"/>
      <c r="C206" s="76"/>
      <c r="D206" s="65"/>
      <c r="E206" s="65"/>
      <c r="F206" s="65"/>
      <c r="G206" s="65"/>
    </row>
    <row r="207" spans="2:7" x14ac:dyDescent="0.25">
      <c r="B207" s="64"/>
      <c r="C207" s="76"/>
      <c r="D207" s="65"/>
      <c r="E207" s="65"/>
      <c r="F207" s="65"/>
      <c r="G207" s="65"/>
    </row>
    <row r="208" spans="2:7" x14ac:dyDescent="0.25">
      <c r="B208" s="64"/>
      <c r="C208" s="76"/>
      <c r="D208" s="65"/>
      <c r="E208" s="65"/>
      <c r="F208" s="65"/>
      <c r="G208" s="65"/>
    </row>
    <row r="209" spans="2:7" x14ac:dyDescent="0.25">
      <c r="B209" s="64"/>
      <c r="C209" s="76"/>
      <c r="D209" s="65"/>
      <c r="E209" s="65"/>
      <c r="F209" s="65"/>
      <c r="G209" s="65"/>
    </row>
    <row r="210" spans="2:7" x14ac:dyDescent="0.25">
      <c r="B210" s="64"/>
      <c r="C210" s="76"/>
      <c r="D210" s="65"/>
      <c r="E210" s="65"/>
      <c r="F210" s="65"/>
      <c r="G210" s="65"/>
    </row>
    <row r="211" spans="2:7" x14ac:dyDescent="0.25">
      <c r="B211" s="64"/>
      <c r="C211" s="76"/>
      <c r="D211" s="65"/>
      <c r="E211" s="65"/>
      <c r="F211" s="65"/>
      <c r="G211" s="65"/>
    </row>
    <row r="212" spans="2:7" x14ac:dyDescent="0.25">
      <c r="B212" s="64"/>
      <c r="C212" s="76"/>
      <c r="D212" s="65"/>
      <c r="E212" s="65"/>
      <c r="F212" s="65"/>
      <c r="G212" s="65"/>
    </row>
    <row r="213" spans="2:7" x14ac:dyDescent="0.25">
      <c r="B213" s="64"/>
      <c r="C213" s="76"/>
      <c r="D213" s="65"/>
      <c r="E213" s="65"/>
      <c r="F213" s="65"/>
      <c r="G213" s="65"/>
    </row>
    <row r="214" spans="2:7" x14ac:dyDescent="0.25">
      <c r="B214" s="64"/>
      <c r="C214" s="76"/>
      <c r="D214" s="65"/>
      <c r="E214" s="65"/>
      <c r="F214" s="65"/>
      <c r="G214" s="65"/>
    </row>
    <row r="215" spans="2:7" x14ac:dyDescent="0.25">
      <c r="B215" s="64"/>
      <c r="C215" s="76"/>
      <c r="D215" s="65"/>
      <c r="E215" s="65"/>
      <c r="F215" s="65"/>
      <c r="G215" s="65"/>
    </row>
    <row r="216" spans="2:7" x14ac:dyDescent="0.25">
      <c r="B216" s="64"/>
      <c r="C216" s="76"/>
      <c r="D216" s="65"/>
      <c r="E216" s="65"/>
      <c r="F216" s="65"/>
      <c r="G216" s="65"/>
    </row>
    <row r="217" spans="2:7" x14ac:dyDescent="0.25">
      <c r="B217" s="64"/>
      <c r="C217" s="76"/>
      <c r="D217" s="65"/>
      <c r="E217" s="65"/>
      <c r="F217" s="65"/>
      <c r="G217" s="65"/>
    </row>
    <row r="218" spans="2:7" x14ac:dyDescent="0.25">
      <c r="B218" s="64"/>
      <c r="C218" s="76"/>
      <c r="D218" s="65"/>
      <c r="E218" s="65"/>
      <c r="F218" s="65"/>
      <c r="G218" s="65"/>
    </row>
    <row r="219" spans="2:7" x14ac:dyDescent="0.25">
      <c r="B219" s="64"/>
      <c r="C219" s="76"/>
      <c r="D219" s="65"/>
      <c r="E219" s="65"/>
      <c r="F219" s="65"/>
      <c r="G219" s="65"/>
    </row>
    <row r="220" spans="2:7" x14ac:dyDescent="0.25">
      <c r="B220" s="64"/>
      <c r="C220" s="76"/>
      <c r="D220" s="65"/>
      <c r="E220" s="65"/>
      <c r="F220" s="65"/>
      <c r="G220" s="65"/>
    </row>
    <row r="221" spans="2:7" x14ac:dyDescent="0.25">
      <c r="B221" s="64"/>
      <c r="C221" s="76"/>
      <c r="D221" s="65"/>
      <c r="E221" s="65"/>
      <c r="F221" s="65"/>
      <c r="G221" s="65"/>
    </row>
    <row r="222" spans="2:7" x14ac:dyDescent="0.25">
      <c r="B222" s="64"/>
      <c r="C222" s="76"/>
      <c r="D222" s="65"/>
      <c r="E222" s="65"/>
      <c r="F222" s="65"/>
      <c r="G222" s="65"/>
    </row>
    <row r="223" spans="2:7" x14ac:dyDescent="0.25">
      <c r="B223" s="64"/>
      <c r="C223" s="76"/>
      <c r="D223" s="65"/>
      <c r="E223" s="65"/>
      <c r="F223" s="65"/>
      <c r="G223" s="65"/>
    </row>
    <row r="224" spans="2:7" x14ac:dyDescent="0.25">
      <c r="B224" s="64"/>
      <c r="C224" s="76"/>
      <c r="D224" s="65"/>
      <c r="E224" s="65"/>
      <c r="F224" s="65"/>
      <c r="G224" s="65"/>
    </row>
  </sheetData>
  <mergeCells count="15">
    <mergeCell ref="B1:F1"/>
    <mergeCell ref="B2:F2"/>
    <mergeCell ref="B3:B4"/>
    <mergeCell ref="C3:C4"/>
    <mergeCell ref="D3:E3"/>
    <mergeCell ref="F3:F4"/>
    <mergeCell ref="B18:H18"/>
    <mergeCell ref="B19:F19"/>
    <mergeCell ref="B20:B22"/>
    <mergeCell ref="C20:C22"/>
    <mergeCell ref="D20:D22"/>
    <mergeCell ref="E20:H20"/>
    <mergeCell ref="E21:E22"/>
    <mergeCell ref="F21:F22"/>
    <mergeCell ref="G21:H21"/>
  </mergeCells>
  <pageMargins left="1.02" right="0.75" top="1.1399999999999999" bottom="1" header="0" footer="0"/>
  <pageSetup paperSize="9" orientation="landscape" r:id="rId1"/>
  <headerFooter alignWithMargins="0"/>
  <ignoredErrors>
    <ignoredError sqref="E39 G34 E3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zoomScaleSheetLayoutView="100" workbookViewId="0">
      <selection activeCell="I24" sqref="I24"/>
    </sheetView>
  </sheetViews>
  <sheetFormatPr baseColWidth="10" defaultRowHeight="11.25" x14ac:dyDescent="0.25"/>
  <cols>
    <col min="1" max="1" width="43.28515625" style="293" customWidth="1"/>
    <col min="2" max="2" width="12.85546875" style="293" customWidth="1"/>
    <col min="3" max="7" width="11.5703125" style="293" bestFit="1" customWidth="1"/>
    <col min="8" max="8" width="12.85546875" style="293" bestFit="1" customWidth="1"/>
    <col min="9" max="9" width="2.7109375" style="293" customWidth="1"/>
    <col min="10" max="256" width="11.42578125" style="293"/>
    <col min="257" max="257" width="43.28515625" style="293" customWidth="1"/>
    <col min="258" max="258" width="12.85546875" style="293" customWidth="1"/>
    <col min="259" max="259" width="11" style="293" customWidth="1"/>
    <col min="260" max="263" width="11.5703125" style="293" bestFit="1" customWidth="1"/>
    <col min="264" max="264" width="12.85546875" style="293" bestFit="1" customWidth="1"/>
    <col min="265" max="265" width="2.7109375" style="293" customWidth="1"/>
    <col min="266" max="512" width="11.42578125" style="293"/>
    <col min="513" max="513" width="43.28515625" style="293" customWidth="1"/>
    <col min="514" max="514" width="12.85546875" style="293" customWidth="1"/>
    <col min="515" max="515" width="11" style="293" customWidth="1"/>
    <col min="516" max="519" width="11.5703125" style="293" bestFit="1" customWidth="1"/>
    <col min="520" max="520" width="12.85546875" style="293" bestFit="1" customWidth="1"/>
    <col min="521" max="521" width="2.7109375" style="293" customWidth="1"/>
    <col min="522" max="768" width="11.42578125" style="293"/>
    <col min="769" max="769" width="43.28515625" style="293" customWidth="1"/>
    <col min="770" max="770" width="12.85546875" style="293" customWidth="1"/>
    <col min="771" max="771" width="11" style="293" customWidth="1"/>
    <col min="772" max="775" width="11.5703125" style="293" bestFit="1" customWidth="1"/>
    <col min="776" max="776" width="12.85546875" style="293" bestFit="1" customWidth="1"/>
    <col min="777" max="777" width="2.7109375" style="293" customWidth="1"/>
    <col min="778" max="1024" width="11.42578125" style="293"/>
    <col min="1025" max="1025" width="43.28515625" style="293" customWidth="1"/>
    <col min="1026" max="1026" width="12.85546875" style="293" customWidth="1"/>
    <col min="1027" max="1027" width="11" style="293" customWidth="1"/>
    <col min="1028" max="1031" width="11.5703125" style="293" bestFit="1" customWidth="1"/>
    <col min="1032" max="1032" width="12.85546875" style="293" bestFit="1" customWidth="1"/>
    <col min="1033" max="1033" width="2.7109375" style="293" customWidth="1"/>
    <col min="1034" max="1280" width="11.42578125" style="293"/>
    <col min="1281" max="1281" width="43.28515625" style="293" customWidth="1"/>
    <col min="1282" max="1282" width="12.85546875" style="293" customWidth="1"/>
    <col min="1283" max="1283" width="11" style="293" customWidth="1"/>
    <col min="1284" max="1287" width="11.5703125" style="293" bestFit="1" customWidth="1"/>
    <col min="1288" max="1288" width="12.85546875" style="293" bestFit="1" customWidth="1"/>
    <col min="1289" max="1289" width="2.7109375" style="293" customWidth="1"/>
    <col min="1290" max="1536" width="11.42578125" style="293"/>
    <col min="1537" max="1537" width="43.28515625" style="293" customWidth="1"/>
    <col min="1538" max="1538" width="12.85546875" style="293" customWidth="1"/>
    <col min="1539" max="1539" width="11" style="293" customWidth="1"/>
    <col min="1540" max="1543" width="11.5703125" style="293" bestFit="1" customWidth="1"/>
    <col min="1544" max="1544" width="12.85546875" style="293" bestFit="1" customWidth="1"/>
    <col min="1545" max="1545" width="2.7109375" style="293" customWidth="1"/>
    <col min="1546" max="1792" width="11.42578125" style="293"/>
    <col min="1793" max="1793" width="43.28515625" style="293" customWidth="1"/>
    <col min="1794" max="1794" width="12.85546875" style="293" customWidth="1"/>
    <col min="1795" max="1795" width="11" style="293" customWidth="1"/>
    <col min="1796" max="1799" width="11.5703125" style="293" bestFit="1" customWidth="1"/>
    <col min="1800" max="1800" width="12.85546875" style="293" bestFit="1" customWidth="1"/>
    <col min="1801" max="1801" width="2.7109375" style="293" customWidth="1"/>
    <col min="1802" max="2048" width="11.42578125" style="293"/>
    <col min="2049" max="2049" width="43.28515625" style="293" customWidth="1"/>
    <col min="2050" max="2050" width="12.85546875" style="293" customWidth="1"/>
    <col min="2051" max="2051" width="11" style="293" customWidth="1"/>
    <col min="2052" max="2055" width="11.5703125" style="293" bestFit="1" customWidth="1"/>
    <col min="2056" max="2056" width="12.85546875" style="293" bestFit="1" customWidth="1"/>
    <col min="2057" max="2057" width="2.7109375" style="293" customWidth="1"/>
    <col min="2058" max="2304" width="11.42578125" style="293"/>
    <col min="2305" max="2305" width="43.28515625" style="293" customWidth="1"/>
    <col min="2306" max="2306" width="12.85546875" style="293" customWidth="1"/>
    <col min="2307" max="2307" width="11" style="293" customWidth="1"/>
    <col min="2308" max="2311" width="11.5703125" style="293" bestFit="1" customWidth="1"/>
    <col min="2312" max="2312" width="12.85546875" style="293" bestFit="1" customWidth="1"/>
    <col min="2313" max="2313" width="2.7109375" style="293" customWidth="1"/>
    <col min="2314" max="2560" width="11.42578125" style="293"/>
    <col min="2561" max="2561" width="43.28515625" style="293" customWidth="1"/>
    <col min="2562" max="2562" width="12.85546875" style="293" customWidth="1"/>
    <col min="2563" max="2563" width="11" style="293" customWidth="1"/>
    <col min="2564" max="2567" width="11.5703125" style="293" bestFit="1" customWidth="1"/>
    <col min="2568" max="2568" width="12.85546875" style="293" bestFit="1" customWidth="1"/>
    <col min="2569" max="2569" width="2.7109375" style="293" customWidth="1"/>
    <col min="2570" max="2816" width="11.42578125" style="293"/>
    <col min="2817" max="2817" width="43.28515625" style="293" customWidth="1"/>
    <col min="2818" max="2818" width="12.85546875" style="293" customWidth="1"/>
    <col min="2819" max="2819" width="11" style="293" customWidth="1"/>
    <col min="2820" max="2823" width="11.5703125" style="293" bestFit="1" customWidth="1"/>
    <col min="2824" max="2824" width="12.85546875" style="293" bestFit="1" customWidth="1"/>
    <col min="2825" max="2825" width="2.7109375" style="293" customWidth="1"/>
    <col min="2826" max="3072" width="11.42578125" style="293"/>
    <col min="3073" max="3073" width="43.28515625" style="293" customWidth="1"/>
    <col min="3074" max="3074" width="12.85546875" style="293" customWidth="1"/>
    <col min="3075" max="3075" width="11" style="293" customWidth="1"/>
    <col min="3076" max="3079" width="11.5703125" style="293" bestFit="1" customWidth="1"/>
    <col min="3080" max="3080" width="12.85546875" style="293" bestFit="1" customWidth="1"/>
    <col min="3081" max="3081" width="2.7109375" style="293" customWidth="1"/>
    <col min="3082" max="3328" width="11.42578125" style="293"/>
    <col min="3329" max="3329" width="43.28515625" style="293" customWidth="1"/>
    <col min="3330" max="3330" width="12.85546875" style="293" customWidth="1"/>
    <col min="3331" max="3331" width="11" style="293" customWidth="1"/>
    <col min="3332" max="3335" width="11.5703125" style="293" bestFit="1" customWidth="1"/>
    <col min="3336" max="3336" width="12.85546875" style="293" bestFit="1" customWidth="1"/>
    <col min="3337" max="3337" width="2.7109375" style="293" customWidth="1"/>
    <col min="3338" max="3584" width="11.42578125" style="293"/>
    <col min="3585" max="3585" width="43.28515625" style="293" customWidth="1"/>
    <col min="3586" max="3586" width="12.85546875" style="293" customWidth="1"/>
    <col min="3587" max="3587" width="11" style="293" customWidth="1"/>
    <col min="3588" max="3591" width="11.5703125" style="293" bestFit="1" customWidth="1"/>
    <col min="3592" max="3592" width="12.85546875" style="293" bestFit="1" customWidth="1"/>
    <col min="3593" max="3593" width="2.7109375" style="293" customWidth="1"/>
    <col min="3594" max="3840" width="11.42578125" style="293"/>
    <col min="3841" max="3841" width="43.28515625" style="293" customWidth="1"/>
    <col min="3842" max="3842" width="12.85546875" style="293" customWidth="1"/>
    <col min="3843" max="3843" width="11" style="293" customWidth="1"/>
    <col min="3844" max="3847" width="11.5703125" style="293" bestFit="1" customWidth="1"/>
    <col min="3848" max="3848" width="12.85546875" style="293" bestFit="1" customWidth="1"/>
    <col min="3849" max="3849" width="2.7109375" style="293" customWidth="1"/>
    <col min="3850" max="4096" width="11.42578125" style="293"/>
    <col min="4097" max="4097" width="43.28515625" style="293" customWidth="1"/>
    <col min="4098" max="4098" width="12.85546875" style="293" customWidth="1"/>
    <col min="4099" max="4099" width="11" style="293" customWidth="1"/>
    <col min="4100" max="4103" width="11.5703125" style="293" bestFit="1" customWidth="1"/>
    <col min="4104" max="4104" width="12.85546875" style="293" bestFit="1" customWidth="1"/>
    <col min="4105" max="4105" width="2.7109375" style="293" customWidth="1"/>
    <col min="4106" max="4352" width="11.42578125" style="293"/>
    <col min="4353" max="4353" width="43.28515625" style="293" customWidth="1"/>
    <col min="4354" max="4354" width="12.85546875" style="293" customWidth="1"/>
    <col min="4355" max="4355" width="11" style="293" customWidth="1"/>
    <col min="4356" max="4359" width="11.5703125" style="293" bestFit="1" customWidth="1"/>
    <col min="4360" max="4360" width="12.85546875" style="293" bestFit="1" customWidth="1"/>
    <col min="4361" max="4361" width="2.7109375" style="293" customWidth="1"/>
    <col min="4362" max="4608" width="11.42578125" style="293"/>
    <col min="4609" max="4609" width="43.28515625" style="293" customWidth="1"/>
    <col min="4610" max="4610" width="12.85546875" style="293" customWidth="1"/>
    <col min="4611" max="4611" width="11" style="293" customWidth="1"/>
    <col min="4612" max="4615" width="11.5703125" style="293" bestFit="1" customWidth="1"/>
    <col min="4616" max="4616" width="12.85546875" style="293" bestFit="1" customWidth="1"/>
    <col min="4617" max="4617" width="2.7109375" style="293" customWidth="1"/>
    <col min="4618" max="4864" width="11.42578125" style="293"/>
    <col min="4865" max="4865" width="43.28515625" style="293" customWidth="1"/>
    <col min="4866" max="4866" width="12.85546875" style="293" customWidth="1"/>
    <col min="4867" max="4867" width="11" style="293" customWidth="1"/>
    <col min="4868" max="4871" width="11.5703125" style="293" bestFit="1" customWidth="1"/>
    <col min="4872" max="4872" width="12.85546875" style="293" bestFit="1" customWidth="1"/>
    <col min="4873" max="4873" width="2.7109375" style="293" customWidth="1"/>
    <col min="4874" max="5120" width="11.42578125" style="293"/>
    <col min="5121" max="5121" width="43.28515625" style="293" customWidth="1"/>
    <col min="5122" max="5122" width="12.85546875" style="293" customWidth="1"/>
    <col min="5123" max="5123" width="11" style="293" customWidth="1"/>
    <col min="5124" max="5127" width="11.5703125" style="293" bestFit="1" customWidth="1"/>
    <col min="5128" max="5128" width="12.85546875" style="293" bestFit="1" customWidth="1"/>
    <col min="5129" max="5129" width="2.7109375" style="293" customWidth="1"/>
    <col min="5130" max="5376" width="11.42578125" style="293"/>
    <col min="5377" max="5377" width="43.28515625" style="293" customWidth="1"/>
    <col min="5378" max="5378" width="12.85546875" style="293" customWidth="1"/>
    <col min="5379" max="5379" width="11" style="293" customWidth="1"/>
    <col min="5380" max="5383" width="11.5703125" style="293" bestFit="1" customWidth="1"/>
    <col min="5384" max="5384" width="12.85546875" style="293" bestFit="1" customWidth="1"/>
    <col min="5385" max="5385" width="2.7109375" style="293" customWidth="1"/>
    <col min="5386" max="5632" width="11.42578125" style="293"/>
    <col min="5633" max="5633" width="43.28515625" style="293" customWidth="1"/>
    <col min="5634" max="5634" width="12.85546875" style="293" customWidth="1"/>
    <col min="5635" max="5635" width="11" style="293" customWidth="1"/>
    <col min="5636" max="5639" width="11.5703125" style="293" bestFit="1" customWidth="1"/>
    <col min="5640" max="5640" width="12.85546875" style="293" bestFit="1" customWidth="1"/>
    <col min="5641" max="5641" width="2.7109375" style="293" customWidth="1"/>
    <col min="5642" max="5888" width="11.42578125" style="293"/>
    <col min="5889" max="5889" width="43.28515625" style="293" customWidth="1"/>
    <col min="5890" max="5890" width="12.85546875" style="293" customWidth="1"/>
    <col min="5891" max="5891" width="11" style="293" customWidth="1"/>
    <col min="5892" max="5895" width="11.5703125" style="293" bestFit="1" customWidth="1"/>
    <col min="5896" max="5896" width="12.85546875" style="293" bestFit="1" customWidth="1"/>
    <col min="5897" max="5897" width="2.7109375" style="293" customWidth="1"/>
    <col min="5898" max="6144" width="11.42578125" style="293"/>
    <col min="6145" max="6145" width="43.28515625" style="293" customWidth="1"/>
    <col min="6146" max="6146" width="12.85546875" style="293" customWidth="1"/>
    <col min="6147" max="6147" width="11" style="293" customWidth="1"/>
    <col min="6148" max="6151" width="11.5703125" style="293" bestFit="1" customWidth="1"/>
    <col min="6152" max="6152" width="12.85546875" style="293" bestFit="1" customWidth="1"/>
    <col min="6153" max="6153" width="2.7109375" style="293" customWidth="1"/>
    <col min="6154" max="6400" width="11.42578125" style="293"/>
    <col min="6401" max="6401" width="43.28515625" style="293" customWidth="1"/>
    <col min="6402" max="6402" width="12.85546875" style="293" customWidth="1"/>
    <col min="6403" max="6403" width="11" style="293" customWidth="1"/>
    <col min="6404" max="6407" width="11.5703125" style="293" bestFit="1" customWidth="1"/>
    <col min="6408" max="6408" width="12.85546875" style="293" bestFit="1" customWidth="1"/>
    <col min="6409" max="6409" width="2.7109375" style="293" customWidth="1"/>
    <col min="6410" max="6656" width="11.42578125" style="293"/>
    <col min="6657" max="6657" width="43.28515625" style="293" customWidth="1"/>
    <col min="6658" max="6658" width="12.85546875" style="293" customWidth="1"/>
    <col min="6659" max="6659" width="11" style="293" customWidth="1"/>
    <col min="6660" max="6663" width="11.5703125" style="293" bestFit="1" customWidth="1"/>
    <col min="6664" max="6664" width="12.85546875" style="293" bestFit="1" customWidth="1"/>
    <col min="6665" max="6665" width="2.7109375" style="293" customWidth="1"/>
    <col min="6666" max="6912" width="11.42578125" style="293"/>
    <col min="6913" max="6913" width="43.28515625" style="293" customWidth="1"/>
    <col min="6914" max="6914" width="12.85546875" style="293" customWidth="1"/>
    <col min="6915" max="6915" width="11" style="293" customWidth="1"/>
    <col min="6916" max="6919" width="11.5703125" style="293" bestFit="1" customWidth="1"/>
    <col min="6920" max="6920" width="12.85546875" style="293" bestFit="1" customWidth="1"/>
    <col min="6921" max="6921" width="2.7109375" style="293" customWidth="1"/>
    <col min="6922" max="7168" width="11.42578125" style="293"/>
    <col min="7169" max="7169" width="43.28515625" style="293" customWidth="1"/>
    <col min="7170" max="7170" width="12.85546875" style="293" customWidth="1"/>
    <col min="7171" max="7171" width="11" style="293" customWidth="1"/>
    <col min="7172" max="7175" width="11.5703125" style="293" bestFit="1" customWidth="1"/>
    <col min="7176" max="7176" width="12.85546875" style="293" bestFit="1" customWidth="1"/>
    <col min="7177" max="7177" width="2.7109375" style="293" customWidth="1"/>
    <col min="7178" max="7424" width="11.42578125" style="293"/>
    <col min="7425" max="7425" width="43.28515625" style="293" customWidth="1"/>
    <col min="7426" max="7426" width="12.85546875" style="293" customWidth="1"/>
    <col min="7427" max="7427" width="11" style="293" customWidth="1"/>
    <col min="7428" max="7431" width="11.5703125" style="293" bestFit="1" customWidth="1"/>
    <col min="7432" max="7432" width="12.85546875" style="293" bestFit="1" customWidth="1"/>
    <col min="7433" max="7433" width="2.7109375" style="293" customWidth="1"/>
    <col min="7434" max="7680" width="11.42578125" style="293"/>
    <col min="7681" max="7681" width="43.28515625" style="293" customWidth="1"/>
    <col min="7682" max="7682" width="12.85546875" style="293" customWidth="1"/>
    <col min="7683" max="7683" width="11" style="293" customWidth="1"/>
    <col min="7684" max="7687" width="11.5703125" style="293" bestFit="1" customWidth="1"/>
    <col min="7688" max="7688" width="12.85546875" style="293" bestFit="1" customWidth="1"/>
    <col min="7689" max="7689" width="2.7109375" style="293" customWidth="1"/>
    <col min="7690" max="7936" width="11.42578125" style="293"/>
    <col min="7937" max="7937" width="43.28515625" style="293" customWidth="1"/>
    <col min="7938" max="7938" width="12.85546875" style="293" customWidth="1"/>
    <col min="7939" max="7939" width="11" style="293" customWidth="1"/>
    <col min="7940" max="7943" width="11.5703125" style="293" bestFit="1" customWidth="1"/>
    <col min="7944" max="7944" width="12.85546875" style="293" bestFit="1" customWidth="1"/>
    <col min="7945" max="7945" width="2.7109375" style="293" customWidth="1"/>
    <col min="7946" max="8192" width="11.42578125" style="293"/>
    <col min="8193" max="8193" width="43.28515625" style="293" customWidth="1"/>
    <col min="8194" max="8194" width="12.85546875" style="293" customWidth="1"/>
    <col min="8195" max="8195" width="11" style="293" customWidth="1"/>
    <col min="8196" max="8199" width="11.5703125" style="293" bestFit="1" customWidth="1"/>
    <col min="8200" max="8200" width="12.85546875" style="293" bestFit="1" customWidth="1"/>
    <col min="8201" max="8201" width="2.7109375" style="293" customWidth="1"/>
    <col min="8202" max="8448" width="11.42578125" style="293"/>
    <col min="8449" max="8449" width="43.28515625" style="293" customWidth="1"/>
    <col min="8450" max="8450" width="12.85546875" style="293" customWidth="1"/>
    <col min="8451" max="8451" width="11" style="293" customWidth="1"/>
    <col min="8452" max="8455" width="11.5703125" style="293" bestFit="1" customWidth="1"/>
    <col min="8456" max="8456" width="12.85546875" style="293" bestFit="1" customWidth="1"/>
    <col min="8457" max="8457" width="2.7109375" style="293" customWidth="1"/>
    <col min="8458" max="8704" width="11.42578125" style="293"/>
    <col min="8705" max="8705" width="43.28515625" style="293" customWidth="1"/>
    <col min="8706" max="8706" width="12.85546875" style="293" customWidth="1"/>
    <col min="8707" max="8707" width="11" style="293" customWidth="1"/>
    <col min="8708" max="8711" width="11.5703125" style="293" bestFit="1" customWidth="1"/>
    <col min="8712" max="8712" width="12.85546875" style="293" bestFit="1" customWidth="1"/>
    <col min="8713" max="8713" width="2.7109375" style="293" customWidth="1"/>
    <col min="8714" max="8960" width="11.42578125" style="293"/>
    <col min="8961" max="8961" width="43.28515625" style="293" customWidth="1"/>
    <col min="8962" max="8962" width="12.85546875" style="293" customWidth="1"/>
    <col min="8963" max="8963" width="11" style="293" customWidth="1"/>
    <col min="8964" max="8967" width="11.5703125" style="293" bestFit="1" customWidth="1"/>
    <col min="8968" max="8968" width="12.85546875" style="293" bestFit="1" customWidth="1"/>
    <col min="8969" max="8969" width="2.7109375" style="293" customWidth="1"/>
    <col min="8970" max="9216" width="11.42578125" style="293"/>
    <col min="9217" max="9217" width="43.28515625" style="293" customWidth="1"/>
    <col min="9218" max="9218" width="12.85546875" style="293" customWidth="1"/>
    <col min="9219" max="9219" width="11" style="293" customWidth="1"/>
    <col min="9220" max="9223" width="11.5703125" style="293" bestFit="1" customWidth="1"/>
    <col min="9224" max="9224" width="12.85546875" style="293" bestFit="1" customWidth="1"/>
    <col min="9225" max="9225" width="2.7109375" style="293" customWidth="1"/>
    <col min="9226" max="9472" width="11.42578125" style="293"/>
    <col min="9473" max="9473" width="43.28515625" style="293" customWidth="1"/>
    <col min="9474" max="9474" width="12.85546875" style="293" customWidth="1"/>
    <col min="9475" max="9475" width="11" style="293" customWidth="1"/>
    <col min="9476" max="9479" width="11.5703125" style="293" bestFit="1" customWidth="1"/>
    <col min="9480" max="9480" width="12.85546875" style="293" bestFit="1" customWidth="1"/>
    <col min="9481" max="9481" width="2.7109375" style="293" customWidth="1"/>
    <col min="9482" max="9728" width="11.42578125" style="293"/>
    <col min="9729" max="9729" width="43.28515625" style="293" customWidth="1"/>
    <col min="9730" max="9730" width="12.85546875" style="293" customWidth="1"/>
    <col min="9731" max="9731" width="11" style="293" customWidth="1"/>
    <col min="9732" max="9735" width="11.5703125" style="293" bestFit="1" customWidth="1"/>
    <col min="9736" max="9736" width="12.85546875" style="293" bestFit="1" customWidth="1"/>
    <col min="9737" max="9737" width="2.7109375" style="293" customWidth="1"/>
    <col min="9738" max="9984" width="11.42578125" style="293"/>
    <col min="9985" max="9985" width="43.28515625" style="293" customWidth="1"/>
    <col min="9986" max="9986" width="12.85546875" style="293" customWidth="1"/>
    <col min="9987" max="9987" width="11" style="293" customWidth="1"/>
    <col min="9988" max="9991" width="11.5703125" style="293" bestFit="1" customWidth="1"/>
    <col min="9992" max="9992" width="12.85546875" style="293" bestFit="1" customWidth="1"/>
    <col min="9993" max="9993" width="2.7109375" style="293" customWidth="1"/>
    <col min="9994" max="10240" width="11.42578125" style="293"/>
    <col min="10241" max="10241" width="43.28515625" style="293" customWidth="1"/>
    <col min="10242" max="10242" width="12.85546875" style="293" customWidth="1"/>
    <col min="10243" max="10243" width="11" style="293" customWidth="1"/>
    <col min="10244" max="10247" width="11.5703125" style="293" bestFit="1" customWidth="1"/>
    <col min="10248" max="10248" width="12.85546875" style="293" bestFit="1" customWidth="1"/>
    <col min="10249" max="10249" width="2.7109375" style="293" customWidth="1"/>
    <col min="10250" max="10496" width="11.42578125" style="293"/>
    <col min="10497" max="10497" width="43.28515625" style="293" customWidth="1"/>
    <col min="10498" max="10498" width="12.85546875" style="293" customWidth="1"/>
    <col min="10499" max="10499" width="11" style="293" customWidth="1"/>
    <col min="10500" max="10503" width="11.5703125" style="293" bestFit="1" customWidth="1"/>
    <col min="10504" max="10504" width="12.85546875" style="293" bestFit="1" customWidth="1"/>
    <col min="10505" max="10505" width="2.7109375" style="293" customWidth="1"/>
    <col min="10506" max="10752" width="11.42578125" style="293"/>
    <col min="10753" max="10753" width="43.28515625" style="293" customWidth="1"/>
    <col min="10754" max="10754" width="12.85546875" style="293" customWidth="1"/>
    <col min="10755" max="10755" width="11" style="293" customWidth="1"/>
    <col min="10756" max="10759" width="11.5703125" style="293" bestFit="1" customWidth="1"/>
    <col min="10760" max="10760" width="12.85546875" style="293" bestFit="1" customWidth="1"/>
    <col min="10761" max="10761" width="2.7109375" style="293" customWidth="1"/>
    <col min="10762" max="11008" width="11.42578125" style="293"/>
    <col min="11009" max="11009" width="43.28515625" style="293" customWidth="1"/>
    <col min="11010" max="11010" width="12.85546875" style="293" customWidth="1"/>
    <col min="11011" max="11011" width="11" style="293" customWidth="1"/>
    <col min="11012" max="11015" width="11.5703125" style="293" bestFit="1" customWidth="1"/>
    <col min="11016" max="11016" width="12.85546875" style="293" bestFit="1" customWidth="1"/>
    <col min="11017" max="11017" width="2.7109375" style="293" customWidth="1"/>
    <col min="11018" max="11264" width="11.42578125" style="293"/>
    <col min="11265" max="11265" width="43.28515625" style="293" customWidth="1"/>
    <col min="11266" max="11266" width="12.85546875" style="293" customWidth="1"/>
    <col min="11267" max="11267" width="11" style="293" customWidth="1"/>
    <col min="11268" max="11271" width="11.5703125" style="293" bestFit="1" customWidth="1"/>
    <col min="11272" max="11272" width="12.85546875" style="293" bestFit="1" customWidth="1"/>
    <col min="11273" max="11273" width="2.7109375" style="293" customWidth="1"/>
    <col min="11274" max="11520" width="11.42578125" style="293"/>
    <col min="11521" max="11521" width="43.28515625" style="293" customWidth="1"/>
    <col min="11522" max="11522" width="12.85546875" style="293" customWidth="1"/>
    <col min="11523" max="11523" width="11" style="293" customWidth="1"/>
    <col min="11524" max="11527" width="11.5703125" style="293" bestFit="1" customWidth="1"/>
    <col min="11528" max="11528" width="12.85546875" style="293" bestFit="1" customWidth="1"/>
    <col min="11529" max="11529" width="2.7109375" style="293" customWidth="1"/>
    <col min="11530" max="11776" width="11.42578125" style="293"/>
    <col min="11777" max="11777" width="43.28515625" style="293" customWidth="1"/>
    <col min="11778" max="11778" width="12.85546875" style="293" customWidth="1"/>
    <col min="11779" max="11779" width="11" style="293" customWidth="1"/>
    <col min="11780" max="11783" width="11.5703125" style="293" bestFit="1" customWidth="1"/>
    <col min="11784" max="11784" width="12.85546875" style="293" bestFit="1" customWidth="1"/>
    <col min="11785" max="11785" width="2.7109375" style="293" customWidth="1"/>
    <col min="11786" max="12032" width="11.42578125" style="293"/>
    <col min="12033" max="12033" width="43.28515625" style="293" customWidth="1"/>
    <col min="12034" max="12034" width="12.85546875" style="293" customWidth="1"/>
    <col min="12035" max="12035" width="11" style="293" customWidth="1"/>
    <col min="12036" max="12039" width="11.5703125" style="293" bestFit="1" customWidth="1"/>
    <col min="12040" max="12040" width="12.85546875" style="293" bestFit="1" customWidth="1"/>
    <col min="12041" max="12041" width="2.7109375" style="293" customWidth="1"/>
    <col min="12042" max="12288" width="11.42578125" style="293"/>
    <col min="12289" max="12289" width="43.28515625" style="293" customWidth="1"/>
    <col min="12290" max="12290" width="12.85546875" style="293" customWidth="1"/>
    <col min="12291" max="12291" width="11" style="293" customWidth="1"/>
    <col min="12292" max="12295" width="11.5703125" style="293" bestFit="1" customWidth="1"/>
    <col min="12296" max="12296" width="12.85546875" style="293" bestFit="1" customWidth="1"/>
    <col min="12297" max="12297" width="2.7109375" style="293" customWidth="1"/>
    <col min="12298" max="12544" width="11.42578125" style="293"/>
    <col min="12545" max="12545" width="43.28515625" style="293" customWidth="1"/>
    <col min="12546" max="12546" width="12.85546875" style="293" customWidth="1"/>
    <col min="12547" max="12547" width="11" style="293" customWidth="1"/>
    <col min="12548" max="12551" width="11.5703125" style="293" bestFit="1" customWidth="1"/>
    <col min="12552" max="12552" width="12.85546875" style="293" bestFit="1" customWidth="1"/>
    <col min="12553" max="12553" width="2.7109375" style="293" customWidth="1"/>
    <col min="12554" max="12800" width="11.42578125" style="293"/>
    <col min="12801" max="12801" width="43.28515625" style="293" customWidth="1"/>
    <col min="12802" max="12802" width="12.85546875" style="293" customWidth="1"/>
    <col min="12803" max="12803" width="11" style="293" customWidth="1"/>
    <col min="12804" max="12807" width="11.5703125" style="293" bestFit="1" customWidth="1"/>
    <col min="12808" max="12808" width="12.85546875" style="293" bestFit="1" customWidth="1"/>
    <col min="12809" max="12809" width="2.7109375" style="293" customWidth="1"/>
    <col min="12810" max="13056" width="11.42578125" style="293"/>
    <col min="13057" max="13057" width="43.28515625" style="293" customWidth="1"/>
    <col min="13058" max="13058" width="12.85546875" style="293" customWidth="1"/>
    <col min="13059" max="13059" width="11" style="293" customWidth="1"/>
    <col min="13060" max="13063" width="11.5703125" style="293" bestFit="1" customWidth="1"/>
    <col min="13064" max="13064" width="12.85546875" style="293" bestFit="1" customWidth="1"/>
    <col min="13065" max="13065" width="2.7109375" style="293" customWidth="1"/>
    <col min="13066" max="13312" width="11.42578125" style="293"/>
    <col min="13313" max="13313" width="43.28515625" style="293" customWidth="1"/>
    <col min="13314" max="13314" width="12.85546875" style="293" customWidth="1"/>
    <col min="13315" max="13315" width="11" style="293" customWidth="1"/>
    <col min="13316" max="13319" width="11.5703125" style="293" bestFit="1" customWidth="1"/>
    <col min="13320" max="13320" width="12.85546875" style="293" bestFit="1" customWidth="1"/>
    <col min="13321" max="13321" width="2.7109375" style="293" customWidth="1"/>
    <col min="13322" max="13568" width="11.42578125" style="293"/>
    <col min="13569" max="13569" width="43.28515625" style="293" customWidth="1"/>
    <col min="13570" max="13570" width="12.85546875" style="293" customWidth="1"/>
    <col min="13571" max="13571" width="11" style="293" customWidth="1"/>
    <col min="13572" max="13575" width="11.5703125" style="293" bestFit="1" customWidth="1"/>
    <col min="13576" max="13576" width="12.85546875" style="293" bestFit="1" customWidth="1"/>
    <col min="13577" max="13577" width="2.7109375" style="293" customWidth="1"/>
    <col min="13578" max="13824" width="11.42578125" style="293"/>
    <col min="13825" max="13825" width="43.28515625" style="293" customWidth="1"/>
    <col min="13826" max="13826" width="12.85546875" style="293" customWidth="1"/>
    <col min="13827" max="13827" width="11" style="293" customWidth="1"/>
    <col min="13828" max="13831" width="11.5703125" style="293" bestFit="1" customWidth="1"/>
    <col min="13832" max="13832" width="12.85546875" style="293" bestFit="1" customWidth="1"/>
    <col min="13833" max="13833" width="2.7109375" style="293" customWidth="1"/>
    <col min="13834" max="14080" width="11.42578125" style="293"/>
    <col min="14081" max="14081" width="43.28515625" style="293" customWidth="1"/>
    <col min="14082" max="14082" width="12.85546875" style="293" customWidth="1"/>
    <col min="14083" max="14083" width="11" style="293" customWidth="1"/>
    <col min="14084" max="14087" width="11.5703125" style="293" bestFit="1" customWidth="1"/>
    <col min="14088" max="14088" width="12.85546875" style="293" bestFit="1" customWidth="1"/>
    <col min="14089" max="14089" width="2.7109375" style="293" customWidth="1"/>
    <col min="14090" max="14336" width="11.42578125" style="293"/>
    <col min="14337" max="14337" width="43.28515625" style="293" customWidth="1"/>
    <col min="14338" max="14338" width="12.85546875" style="293" customWidth="1"/>
    <col min="14339" max="14339" width="11" style="293" customWidth="1"/>
    <col min="14340" max="14343" width="11.5703125" style="293" bestFit="1" customWidth="1"/>
    <col min="14344" max="14344" width="12.85546875" style="293" bestFit="1" customWidth="1"/>
    <col min="14345" max="14345" width="2.7109375" style="293" customWidth="1"/>
    <col min="14346" max="14592" width="11.42578125" style="293"/>
    <col min="14593" max="14593" width="43.28515625" style="293" customWidth="1"/>
    <col min="14594" max="14594" width="12.85546875" style="293" customWidth="1"/>
    <col min="14595" max="14595" width="11" style="293" customWidth="1"/>
    <col min="14596" max="14599" width="11.5703125" style="293" bestFit="1" customWidth="1"/>
    <col min="14600" max="14600" width="12.85546875" style="293" bestFit="1" customWidth="1"/>
    <col min="14601" max="14601" width="2.7109375" style="293" customWidth="1"/>
    <col min="14602" max="14848" width="11.42578125" style="293"/>
    <col min="14849" max="14849" width="43.28515625" style="293" customWidth="1"/>
    <col min="14850" max="14850" width="12.85546875" style="293" customWidth="1"/>
    <col min="14851" max="14851" width="11" style="293" customWidth="1"/>
    <col min="14852" max="14855" width="11.5703125" style="293" bestFit="1" customWidth="1"/>
    <col min="14856" max="14856" width="12.85546875" style="293" bestFit="1" customWidth="1"/>
    <col min="14857" max="14857" width="2.7109375" style="293" customWidth="1"/>
    <col min="14858" max="15104" width="11.42578125" style="293"/>
    <col min="15105" max="15105" width="43.28515625" style="293" customWidth="1"/>
    <col min="15106" max="15106" width="12.85546875" style="293" customWidth="1"/>
    <col min="15107" max="15107" width="11" style="293" customWidth="1"/>
    <col min="15108" max="15111" width="11.5703125" style="293" bestFit="1" customWidth="1"/>
    <col min="15112" max="15112" width="12.85546875" style="293" bestFit="1" customWidth="1"/>
    <col min="15113" max="15113" width="2.7109375" style="293" customWidth="1"/>
    <col min="15114" max="15360" width="11.42578125" style="293"/>
    <col min="15361" max="15361" width="43.28515625" style="293" customWidth="1"/>
    <col min="15362" max="15362" width="12.85546875" style="293" customWidth="1"/>
    <col min="15363" max="15363" width="11" style="293" customWidth="1"/>
    <col min="15364" max="15367" width="11.5703125" style="293" bestFit="1" customWidth="1"/>
    <col min="15368" max="15368" width="12.85546875" style="293" bestFit="1" customWidth="1"/>
    <col min="15369" max="15369" width="2.7109375" style="293" customWidth="1"/>
    <col min="15370" max="15616" width="11.42578125" style="293"/>
    <col min="15617" max="15617" width="43.28515625" style="293" customWidth="1"/>
    <col min="15618" max="15618" width="12.85546875" style="293" customWidth="1"/>
    <col min="15619" max="15619" width="11" style="293" customWidth="1"/>
    <col min="15620" max="15623" width="11.5703125" style="293" bestFit="1" customWidth="1"/>
    <col min="15624" max="15624" width="12.85546875" style="293" bestFit="1" customWidth="1"/>
    <col min="15625" max="15625" width="2.7109375" style="293" customWidth="1"/>
    <col min="15626" max="15872" width="11.42578125" style="293"/>
    <col min="15873" max="15873" width="43.28515625" style="293" customWidth="1"/>
    <col min="15874" max="15874" width="12.85546875" style="293" customWidth="1"/>
    <col min="15875" max="15875" width="11" style="293" customWidth="1"/>
    <col min="15876" max="15879" width="11.5703125" style="293" bestFit="1" customWidth="1"/>
    <col min="15880" max="15880" width="12.85546875" style="293" bestFit="1" customWidth="1"/>
    <col min="15881" max="15881" width="2.7109375" style="293" customWidth="1"/>
    <col min="15882" max="16128" width="11.42578125" style="293"/>
    <col min="16129" max="16129" width="43.28515625" style="293" customWidth="1"/>
    <col min="16130" max="16130" width="12.85546875" style="293" customWidth="1"/>
    <col min="16131" max="16131" width="11" style="293" customWidth="1"/>
    <col min="16132" max="16135" width="11.5703125" style="293" bestFit="1" customWidth="1"/>
    <col min="16136" max="16136" width="12.85546875" style="293" bestFit="1" customWidth="1"/>
    <col min="16137" max="16137" width="2.7109375" style="293" customWidth="1"/>
    <col min="16138" max="16384" width="11.42578125" style="293"/>
  </cols>
  <sheetData>
    <row r="1" spans="1:10" x14ac:dyDescent="0.25">
      <c r="A1" s="767" t="s">
        <v>111</v>
      </c>
      <c r="B1" s="767"/>
      <c r="C1" s="767"/>
      <c r="D1" s="767"/>
      <c r="E1" s="767"/>
      <c r="F1" s="767"/>
      <c r="G1" s="767"/>
      <c r="H1" s="767"/>
      <c r="I1" s="292"/>
    </row>
    <row r="2" spans="1:10" ht="12.75" customHeight="1" x14ac:dyDescent="0.25">
      <c r="A2" s="768" t="s">
        <v>28</v>
      </c>
      <c r="B2" s="769" t="s">
        <v>112</v>
      </c>
      <c r="C2" s="768" t="s">
        <v>113</v>
      </c>
      <c r="D2" s="768"/>
      <c r="E2" s="768"/>
      <c r="F2" s="768"/>
      <c r="G2" s="768"/>
      <c r="H2" s="769" t="s">
        <v>114</v>
      </c>
      <c r="I2" s="766"/>
    </row>
    <row r="3" spans="1:10" x14ac:dyDescent="0.25">
      <c r="A3" s="768"/>
      <c r="B3" s="769"/>
      <c r="C3" s="294">
        <v>1</v>
      </c>
      <c r="D3" s="294">
        <v>2</v>
      </c>
      <c r="E3" s="294">
        <v>3</v>
      </c>
      <c r="F3" s="294">
        <v>4</v>
      </c>
      <c r="G3" s="294">
        <v>5</v>
      </c>
      <c r="H3" s="769"/>
      <c r="I3" s="766"/>
    </row>
    <row r="4" spans="1:10" x14ac:dyDescent="0.25">
      <c r="A4" s="295" t="s">
        <v>115</v>
      </c>
      <c r="B4" s="296"/>
      <c r="C4" s="296"/>
      <c r="D4" s="296"/>
      <c r="E4" s="296"/>
      <c r="F4" s="296"/>
      <c r="G4" s="296"/>
      <c r="H4" s="225"/>
      <c r="I4" s="298"/>
    </row>
    <row r="5" spans="1:10" x14ac:dyDescent="0.25">
      <c r="A5" s="299" t="s">
        <v>116</v>
      </c>
      <c r="B5" s="291"/>
      <c r="C5" s="535"/>
      <c r="D5" s="535"/>
      <c r="E5" s="535"/>
      <c r="F5" s="535"/>
      <c r="G5" s="535"/>
      <c r="H5" s="535">
        <f>+'TERREN e INFR'!F5</f>
        <v>19000</v>
      </c>
      <c r="I5" s="300"/>
    </row>
    <row r="6" spans="1:10" x14ac:dyDescent="0.25">
      <c r="A6" s="295" t="s">
        <v>117</v>
      </c>
      <c r="B6" s="291"/>
      <c r="C6" s="536">
        <f>SUM(C7:C8)</f>
        <v>7424.2317743644071</v>
      </c>
      <c r="D6" s="536">
        <f t="shared" ref="D6:H6" si="0">SUM(D7:D8)</f>
        <v>7424.2317743644071</v>
      </c>
      <c r="E6" s="536">
        <f t="shared" si="0"/>
        <v>7424.2317743644071</v>
      </c>
      <c r="F6" s="536">
        <f t="shared" si="0"/>
        <v>7424.2317743644071</v>
      </c>
      <c r="G6" s="536">
        <f t="shared" si="0"/>
        <v>7424.2317743644071</v>
      </c>
      <c r="H6" s="536">
        <f t="shared" si="0"/>
        <v>117090.71100317796</v>
      </c>
      <c r="I6" s="301"/>
    </row>
    <row r="7" spans="1:10" x14ac:dyDescent="0.25">
      <c r="A7" s="297" t="s">
        <v>118</v>
      </c>
      <c r="B7" s="291">
        <v>0.05</v>
      </c>
      <c r="C7" s="535">
        <f>+'TERREN e INFR'!F7/1.18*'DEPRECIAC '!B7</f>
        <v>5644.5707574152548</v>
      </c>
      <c r="D7" s="535">
        <f t="shared" ref="D7:G8" si="1">+C7</f>
        <v>5644.5707574152548</v>
      </c>
      <c r="E7" s="535">
        <f t="shared" si="1"/>
        <v>5644.5707574152548</v>
      </c>
      <c r="F7" s="535">
        <f t="shared" si="1"/>
        <v>5644.5707574152548</v>
      </c>
      <c r="G7" s="535">
        <f t="shared" si="1"/>
        <v>5644.5707574152548</v>
      </c>
      <c r="H7" s="535">
        <f>+(('TERREN e INFR'!F6)-'DEPRECIAC '!G7*5)</f>
        <v>104989.01608792372</v>
      </c>
      <c r="I7" s="300"/>
    </row>
    <row r="8" spans="1:10" x14ac:dyDescent="0.25">
      <c r="A8" s="297" t="s">
        <v>119</v>
      </c>
      <c r="B8" s="291">
        <v>0.1</v>
      </c>
      <c r="C8" s="535">
        <f>+('MAQ y EQUIP'!E10)/1.18*'DEPRECIAC '!B8</f>
        <v>1779.6610169491528</v>
      </c>
      <c r="D8" s="535">
        <f>+C8</f>
        <v>1779.6610169491528</v>
      </c>
      <c r="E8" s="535">
        <f t="shared" si="1"/>
        <v>1779.6610169491528</v>
      </c>
      <c r="F8" s="535">
        <f t="shared" si="1"/>
        <v>1779.6610169491528</v>
      </c>
      <c r="G8" s="535">
        <f t="shared" si="1"/>
        <v>1779.6610169491528</v>
      </c>
      <c r="H8" s="535">
        <f>+'MAQ y EQUIP'!E10-'DEPRECIAC '!G8*5</f>
        <v>12101.694915254237</v>
      </c>
      <c r="I8" s="300"/>
    </row>
    <row r="9" spans="1:10" x14ac:dyDescent="0.25">
      <c r="A9" s="295" t="s">
        <v>120</v>
      </c>
      <c r="B9" s="291"/>
      <c r="C9" s="536">
        <f>C10</f>
        <v>1350</v>
      </c>
      <c r="D9" s="536">
        <f>D10</f>
        <v>1350</v>
      </c>
      <c r="E9" s="536">
        <f>E10</f>
        <v>1350</v>
      </c>
      <c r="F9" s="536">
        <f>F10</f>
        <v>1350</v>
      </c>
      <c r="G9" s="536">
        <f>G10</f>
        <v>1350</v>
      </c>
      <c r="H9" s="536">
        <f>+H10</f>
        <v>0</v>
      </c>
      <c r="I9" s="301"/>
    </row>
    <row r="10" spans="1:10" x14ac:dyDescent="0.25">
      <c r="A10" s="299" t="s">
        <v>121</v>
      </c>
      <c r="B10" s="291">
        <v>0.2</v>
      </c>
      <c r="C10" s="535">
        <f>+'INVERS FIJ INTANG'!G4*'DEPRECIAC '!B10</f>
        <v>1350</v>
      </c>
      <c r="D10" s="535">
        <f>C10</f>
        <v>1350</v>
      </c>
      <c r="E10" s="535">
        <f>D10</f>
        <v>1350</v>
      </c>
      <c r="F10" s="535">
        <f>E10</f>
        <v>1350</v>
      </c>
      <c r="G10" s="535">
        <f>F10</f>
        <v>1350</v>
      </c>
      <c r="H10" s="535">
        <f>+'INVERS FIJ INTANG'!G4-'DEPRECIAC '!G10*5</f>
        <v>0</v>
      </c>
      <c r="I10" s="300"/>
    </row>
    <row r="11" spans="1:10" x14ac:dyDescent="0.25">
      <c r="A11" s="295" t="s">
        <v>122</v>
      </c>
      <c r="B11" s="295"/>
      <c r="C11" s="536">
        <f>C9+C6</f>
        <v>8774.2317743644071</v>
      </c>
      <c r="D11" s="536">
        <f>D9+D6</f>
        <v>8774.2317743644071</v>
      </c>
      <c r="E11" s="536">
        <f>E9+E6</f>
        <v>8774.2317743644071</v>
      </c>
      <c r="F11" s="536">
        <f>F9+F6</f>
        <v>8774.2317743644071</v>
      </c>
      <c r="G11" s="536">
        <f>G9+G6</f>
        <v>8774.2317743644071</v>
      </c>
      <c r="H11" s="536">
        <f>H5+H6+H9</f>
        <v>136090.71100317797</v>
      </c>
      <c r="I11" s="300"/>
    </row>
    <row r="12" spans="1:10" x14ac:dyDescent="0.25">
      <c r="I12" s="292"/>
    </row>
    <row r="13" spans="1:10" x14ac:dyDescent="0.25">
      <c r="A13" s="302"/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x14ac:dyDescent="0.25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x14ac:dyDescent="0.25">
      <c r="A15" s="302"/>
      <c r="B15" s="302"/>
      <c r="C15" s="302"/>
      <c r="D15" s="302"/>
      <c r="E15" s="302"/>
      <c r="F15" s="302"/>
      <c r="G15" s="302"/>
      <c r="H15" s="302"/>
      <c r="I15" s="302"/>
      <c r="J15" s="302"/>
    </row>
    <row r="16" spans="1:10" x14ac:dyDescent="0.25">
      <c r="A16" s="302"/>
      <c r="B16" s="302"/>
      <c r="C16" s="302"/>
      <c r="D16" s="302"/>
      <c r="E16" s="302"/>
      <c r="F16" s="302"/>
      <c r="G16" s="302"/>
      <c r="H16" s="302"/>
      <c r="I16" s="302"/>
      <c r="J16" s="302"/>
    </row>
    <row r="17" spans="1:10" x14ac:dyDescent="0.25">
      <c r="A17" s="302"/>
      <c r="B17" s="302"/>
      <c r="C17" s="302"/>
      <c r="D17" s="302"/>
      <c r="E17" s="302"/>
      <c r="F17" s="302"/>
      <c r="G17" s="302"/>
      <c r="H17" s="302"/>
      <c r="I17" s="302"/>
      <c r="J17" s="302"/>
    </row>
    <row r="18" spans="1:10" x14ac:dyDescent="0.25">
      <c r="A18" s="302"/>
      <c r="B18" s="302"/>
      <c r="C18" s="302"/>
      <c r="D18" s="302"/>
      <c r="E18" s="302"/>
      <c r="F18" s="302"/>
      <c r="G18" s="302"/>
      <c r="H18" s="302"/>
      <c r="I18" s="302"/>
      <c r="J18" s="302"/>
    </row>
    <row r="19" spans="1:10" x14ac:dyDescent="0.25">
      <c r="A19" s="302"/>
      <c r="B19" s="302"/>
      <c r="C19" s="302"/>
      <c r="D19" s="302"/>
      <c r="E19" s="302"/>
      <c r="F19" s="302"/>
      <c r="G19" s="303"/>
      <c r="H19" s="302"/>
      <c r="I19" s="302"/>
      <c r="J19" s="302"/>
    </row>
    <row r="20" spans="1:10" x14ac:dyDescent="0.25">
      <c r="A20" s="302"/>
      <c r="B20" s="302"/>
      <c r="C20" s="302"/>
      <c r="D20" s="302"/>
      <c r="E20" s="302"/>
      <c r="F20" s="302"/>
      <c r="G20" s="302"/>
      <c r="H20" s="302"/>
      <c r="I20" s="302"/>
      <c r="J20" s="302"/>
    </row>
    <row r="21" spans="1:10" x14ac:dyDescent="0.25">
      <c r="A21" s="302"/>
      <c r="B21" s="302"/>
      <c r="C21" s="302"/>
      <c r="D21" s="302"/>
      <c r="E21" s="302"/>
      <c r="F21" s="302"/>
      <c r="G21" s="302"/>
      <c r="H21" s="302"/>
      <c r="I21" s="302"/>
      <c r="J21" s="302"/>
    </row>
    <row r="22" spans="1:10" x14ac:dyDescent="0.25">
      <c r="A22" s="302"/>
      <c r="B22" s="302"/>
      <c r="C22" s="302"/>
      <c r="D22" s="302"/>
      <c r="E22" s="302"/>
      <c r="F22" s="302"/>
      <c r="G22" s="302"/>
      <c r="H22" s="302"/>
      <c r="I22" s="302"/>
      <c r="J22" s="302"/>
    </row>
    <row r="23" spans="1:10" x14ac:dyDescent="0.25">
      <c r="A23" s="302"/>
      <c r="B23" s="302"/>
      <c r="C23" s="302"/>
      <c r="D23" s="302"/>
      <c r="E23" s="302"/>
      <c r="F23" s="302"/>
      <c r="G23" s="302"/>
      <c r="H23" s="302"/>
      <c r="I23" s="302"/>
      <c r="J23" s="302"/>
    </row>
    <row r="24" spans="1:10" x14ac:dyDescent="0.25">
      <c r="A24" s="302"/>
      <c r="B24" s="302"/>
      <c r="C24" s="302"/>
      <c r="D24" s="302"/>
      <c r="E24" s="302"/>
      <c r="F24" s="302"/>
      <c r="G24" s="302"/>
      <c r="H24" s="302"/>
      <c r="I24" s="302"/>
      <c r="J24" s="302"/>
    </row>
    <row r="25" spans="1:10" x14ac:dyDescent="0.25">
      <c r="A25" s="302"/>
      <c r="B25" s="302"/>
      <c r="C25" s="302"/>
      <c r="D25" s="302"/>
      <c r="E25" s="302"/>
      <c r="F25" s="302"/>
      <c r="G25" s="302"/>
      <c r="H25" s="302"/>
      <c r="I25" s="302"/>
      <c r="J25" s="302"/>
    </row>
    <row r="26" spans="1:10" x14ac:dyDescent="0.25">
      <c r="A26" s="302"/>
      <c r="B26" s="302"/>
      <c r="C26" s="302"/>
      <c r="D26" s="302"/>
      <c r="E26" s="302"/>
      <c r="F26" s="302"/>
      <c r="G26" s="302"/>
      <c r="H26" s="302"/>
      <c r="I26" s="302"/>
      <c r="J26" s="302"/>
    </row>
    <row r="27" spans="1:10" x14ac:dyDescent="0.25">
      <c r="A27" s="302"/>
      <c r="B27" s="302"/>
      <c r="C27" s="302"/>
      <c r="D27" s="302"/>
      <c r="E27" s="302"/>
      <c r="F27" s="302"/>
      <c r="G27" s="302"/>
      <c r="H27" s="302"/>
      <c r="I27" s="302"/>
      <c r="J27" s="302"/>
    </row>
    <row r="28" spans="1:10" x14ac:dyDescent="0.25">
      <c r="A28" s="302"/>
      <c r="B28" s="302"/>
      <c r="C28" s="302"/>
      <c r="D28" s="302"/>
      <c r="E28" s="302"/>
      <c r="F28" s="302"/>
      <c r="G28" s="302"/>
      <c r="H28" s="302"/>
      <c r="I28" s="302"/>
      <c r="J28" s="302"/>
    </row>
    <row r="29" spans="1:10" x14ac:dyDescent="0.25">
      <c r="A29" s="302"/>
      <c r="B29" s="302"/>
      <c r="C29" s="302"/>
      <c r="D29" s="302"/>
      <c r="E29" s="302"/>
      <c r="F29" s="302"/>
      <c r="G29" s="302"/>
      <c r="H29" s="302"/>
      <c r="I29" s="302"/>
      <c r="J29" s="302"/>
    </row>
    <row r="30" spans="1:10" x14ac:dyDescent="0.25">
      <c r="A30" s="302"/>
      <c r="B30" s="302"/>
      <c r="C30" s="302"/>
      <c r="D30" s="302"/>
      <c r="E30" s="302"/>
      <c r="F30" s="302"/>
      <c r="G30" s="302"/>
      <c r="H30" s="302"/>
      <c r="I30" s="302"/>
      <c r="J30" s="302"/>
    </row>
    <row r="31" spans="1:10" x14ac:dyDescent="0.25">
      <c r="A31" s="302"/>
      <c r="B31" s="302"/>
      <c r="C31" s="302"/>
      <c r="D31" s="302"/>
      <c r="E31" s="302"/>
      <c r="F31" s="302"/>
      <c r="G31" s="302"/>
      <c r="H31" s="302"/>
      <c r="I31" s="302"/>
      <c r="J31" s="302"/>
    </row>
  </sheetData>
  <mergeCells count="6">
    <mergeCell ref="I2:I3"/>
    <mergeCell ref="A1:H1"/>
    <mergeCell ref="A2:A3"/>
    <mergeCell ref="B2:B3"/>
    <mergeCell ref="C2:G2"/>
    <mergeCell ref="H2:H3"/>
  </mergeCells>
  <pageMargins left="0.75" right="0.75" top="1" bottom="1" header="0" footer="0"/>
  <pageSetup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opLeftCell="A4" zoomScaleNormal="100" zoomScaleSheetLayoutView="100" workbookViewId="0">
      <selection activeCell="C20" sqref="C20"/>
    </sheetView>
  </sheetViews>
  <sheetFormatPr baseColWidth="10" defaultRowHeight="11.25" x14ac:dyDescent="0.25"/>
  <cols>
    <col min="1" max="1" width="3" style="203" customWidth="1"/>
    <col min="2" max="2" width="41.5703125" style="203" customWidth="1"/>
    <col min="3" max="7" width="13.85546875" style="203" customWidth="1"/>
    <col min="8" max="8" width="4.42578125" style="203" customWidth="1"/>
    <col min="9" max="256" width="11.42578125" style="203"/>
    <col min="257" max="257" width="3" style="203" customWidth="1"/>
    <col min="258" max="258" width="41.5703125" style="203" customWidth="1"/>
    <col min="259" max="263" width="13.85546875" style="203" customWidth="1"/>
    <col min="264" max="264" width="4.42578125" style="203" customWidth="1"/>
    <col min="265" max="512" width="11.42578125" style="203"/>
    <col min="513" max="513" width="3" style="203" customWidth="1"/>
    <col min="514" max="514" width="41.5703125" style="203" customWidth="1"/>
    <col min="515" max="519" width="13.85546875" style="203" customWidth="1"/>
    <col min="520" max="520" width="4.42578125" style="203" customWidth="1"/>
    <col min="521" max="768" width="11.42578125" style="203"/>
    <col min="769" max="769" width="3" style="203" customWidth="1"/>
    <col min="770" max="770" width="41.5703125" style="203" customWidth="1"/>
    <col min="771" max="775" width="13.85546875" style="203" customWidth="1"/>
    <col min="776" max="776" width="4.42578125" style="203" customWidth="1"/>
    <col min="777" max="1024" width="11.42578125" style="203"/>
    <col min="1025" max="1025" width="3" style="203" customWidth="1"/>
    <col min="1026" max="1026" width="41.5703125" style="203" customWidth="1"/>
    <col min="1027" max="1031" width="13.85546875" style="203" customWidth="1"/>
    <col min="1032" max="1032" width="4.42578125" style="203" customWidth="1"/>
    <col min="1033" max="1280" width="11.42578125" style="203"/>
    <col min="1281" max="1281" width="3" style="203" customWidth="1"/>
    <col min="1282" max="1282" width="41.5703125" style="203" customWidth="1"/>
    <col min="1283" max="1287" width="13.85546875" style="203" customWidth="1"/>
    <col min="1288" max="1288" width="4.42578125" style="203" customWidth="1"/>
    <col min="1289" max="1536" width="11.42578125" style="203"/>
    <col min="1537" max="1537" width="3" style="203" customWidth="1"/>
    <col min="1538" max="1538" width="41.5703125" style="203" customWidth="1"/>
    <col min="1539" max="1543" width="13.85546875" style="203" customWidth="1"/>
    <col min="1544" max="1544" width="4.42578125" style="203" customWidth="1"/>
    <col min="1545" max="1792" width="11.42578125" style="203"/>
    <col min="1793" max="1793" width="3" style="203" customWidth="1"/>
    <col min="1794" max="1794" width="41.5703125" style="203" customWidth="1"/>
    <col min="1795" max="1799" width="13.85546875" style="203" customWidth="1"/>
    <col min="1800" max="1800" width="4.42578125" style="203" customWidth="1"/>
    <col min="1801" max="2048" width="11.42578125" style="203"/>
    <col min="2049" max="2049" width="3" style="203" customWidth="1"/>
    <col min="2050" max="2050" width="41.5703125" style="203" customWidth="1"/>
    <col min="2051" max="2055" width="13.85546875" style="203" customWidth="1"/>
    <col min="2056" max="2056" width="4.42578125" style="203" customWidth="1"/>
    <col min="2057" max="2304" width="11.42578125" style="203"/>
    <col min="2305" max="2305" width="3" style="203" customWidth="1"/>
    <col min="2306" max="2306" width="41.5703125" style="203" customWidth="1"/>
    <col min="2307" max="2311" width="13.85546875" style="203" customWidth="1"/>
    <col min="2312" max="2312" width="4.42578125" style="203" customWidth="1"/>
    <col min="2313" max="2560" width="11.42578125" style="203"/>
    <col min="2561" max="2561" width="3" style="203" customWidth="1"/>
    <col min="2562" max="2562" width="41.5703125" style="203" customWidth="1"/>
    <col min="2563" max="2567" width="13.85546875" style="203" customWidth="1"/>
    <col min="2568" max="2568" width="4.42578125" style="203" customWidth="1"/>
    <col min="2569" max="2816" width="11.42578125" style="203"/>
    <col min="2817" max="2817" width="3" style="203" customWidth="1"/>
    <col min="2818" max="2818" width="41.5703125" style="203" customWidth="1"/>
    <col min="2819" max="2823" width="13.85546875" style="203" customWidth="1"/>
    <col min="2824" max="2824" width="4.42578125" style="203" customWidth="1"/>
    <col min="2825" max="3072" width="11.42578125" style="203"/>
    <col min="3073" max="3073" width="3" style="203" customWidth="1"/>
    <col min="3074" max="3074" width="41.5703125" style="203" customWidth="1"/>
    <col min="3075" max="3079" width="13.85546875" style="203" customWidth="1"/>
    <col min="3080" max="3080" width="4.42578125" style="203" customWidth="1"/>
    <col min="3081" max="3328" width="11.42578125" style="203"/>
    <col min="3329" max="3329" width="3" style="203" customWidth="1"/>
    <col min="3330" max="3330" width="41.5703125" style="203" customWidth="1"/>
    <col min="3331" max="3335" width="13.85546875" style="203" customWidth="1"/>
    <col min="3336" max="3336" width="4.42578125" style="203" customWidth="1"/>
    <col min="3337" max="3584" width="11.42578125" style="203"/>
    <col min="3585" max="3585" width="3" style="203" customWidth="1"/>
    <col min="3586" max="3586" width="41.5703125" style="203" customWidth="1"/>
    <col min="3587" max="3591" width="13.85546875" style="203" customWidth="1"/>
    <col min="3592" max="3592" width="4.42578125" style="203" customWidth="1"/>
    <col min="3593" max="3840" width="11.42578125" style="203"/>
    <col min="3841" max="3841" width="3" style="203" customWidth="1"/>
    <col min="3842" max="3842" width="41.5703125" style="203" customWidth="1"/>
    <col min="3843" max="3847" width="13.85546875" style="203" customWidth="1"/>
    <col min="3848" max="3848" width="4.42578125" style="203" customWidth="1"/>
    <col min="3849" max="4096" width="11.42578125" style="203"/>
    <col min="4097" max="4097" width="3" style="203" customWidth="1"/>
    <col min="4098" max="4098" width="41.5703125" style="203" customWidth="1"/>
    <col min="4099" max="4103" width="13.85546875" style="203" customWidth="1"/>
    <col min="4104" max="4104" width="4.42578125" style="203" customWidth="1"/>
    <col min="4105" max="4352" width="11.42578125" style="203"/>
    <col min="4353" max="4353" width="3" style="203" customWidth="1"/>
    <col min="4354" max="4354" width="41.5703125" style="203" customWidth="1"/>
    <col min="4355" max="4359" width="13.85546875" style="203" customWidth="1"/>
    <col min="4360" max="4360" width="4.42578125" style="203" customWidth="1"/>
    <col min="4361" max="4608" width="11.42578125" style="203"/>
    <col min="4609" max="4609" width="3" style="203" customWidth="1"/>
    <col min="4610" max="4610" width="41.5703125" style="203" customWidth="1"/>
    <col min="4611" max="4615" width="13.85546875" style="203" customWidth="1"/>
    <col min="4616" max="4616" width="4.42578125" style="203" customWidth="1"/>
    <col min="4617" max="4864" width="11.42578125" style="203"/>
    <col min="4865" max="4865" width="3" style="203" customWidth="1"/>
    <col min="4866" max="4866" width="41.5703125" style="203" customWidth="1"/>
    <col min="4867" max="4871" width="13.85546875" style="203" customWidth="1"/>
    <col min="4872" max="4872" width="4.42578125" style="203" customWidth="1"/>
    <col min="4873" max="5120" width="11.42578125" style="203"/>
    <col min="5121" max="5121" width="3" style="203" customWidth="1"/>
    <col min="5122" max="5122" width="41.5703125" style="203" customWidth="1"/>
    <col min="5123" max="5127" width="13.85546875" style="203" customWidth="1"/>
    <col min="5128" max="5128" width="4.42578125" style="203" customWidth="1"/>
    <col min="5129" max="5376" width="11.42578125" style="203"/>
    <col min="5377" max="5377" width="3" style="203" customWidth="1"/>
    <col min="5378" max="5378" width="41.5703125" style="203" customWidth="1"/>
    <col min="5379" max="5383" width="13.85546875" style="203" customWidth="1"/>
    <col min="5384" max="5384" width="4.42578125" style="203" customWidth="1"/>
    <col min="5385" max="5632" width="11.42578125" style="203"/>
    <col min="5633" max="5633" width="3" style="203" customWidth="1"/>
    <col min="5634" max="5634" width="41.5703125" style="203" customWidth="1"/>
    <col min="5635" max="5639" width="13.85546875" style="203" customWidth="1"/>
    <col min="5640" max="5640" width="4.42578125" style="203" customWidth="1"/>
    <col min="5641" max="5888" width="11.42578125" style="203"/>
    <col min="5889" max="5889" width="3" style="203" customWidth="1"/>
    <col min="5890" max="5890" width="41.5703125" style="203" customWidth="1"/>
    <col min="5891" max="5895" width="13.85546875" style="203" customWidth="1"/>
    <col min="5896" max="5896" width="4.42578125" style="203" customWidth="1"/>
    <col min="5897" max="6144" width="11.42578125" style="203"/>
    <col min="6145" max="6145" width="3" style="203" customWidth="1"/>
    <col min="6146" max="6146" width="41.5703125" style="203" customWidth="1"/>
    <col min="6147" max="6151" width="13.85546875" style="203" customWidth="1"/>
    <col min="6152" max="6152" width="4.42578125" style="203" customWidth="1"/>
    <col min="6153" max="6400" width="11.42578125" style="203"/>
    <col min="6401" max="6401" width="3" style="203" customWidth="1"/>
    <col min="6402" max="6402" width="41.5703125" style="203" customWidth="1"/>
    <col min="6403" max="6407" width="13.85546875" style="203" customWidth="1"/>
    <col min="6408" max="6408" width="4.42578125" style="203" customWidth="1"/>
    <col min="6409" max="6656" width="11.42578125" style="203"/>
    <col min="6657" max="6657" width="3" style="203" customWidth="1"/>
    <col min="6658" max="6658" width="41.5703125" style="203" customWidth="1"/>
    <col min="6659" max="6663" width="13.85546875" style="203" customWidth="1"/>
    <col min="6664" max="6664" width="4.42578125" style="203" customWidth="1"/>
    <col min="6665" max="6912" width="11.42578125" style="203"/>
    <col min="6913" max="6913" width="3" style="203" customWidth="1"/>
    <col min="6914" max="6914" width="41.5703125" style="203" customWidth="1"/>
    <col min="6915" max="6919" width="13.85546875" style="203" customWidth="1"/>
    <col min="6920" max="6920" width="4.42578125" style="203" customWidth="1"/>
    <col min="6921" max="7168" width="11.42578125" style="203"/>
    <col min="7169" max="7169" width="3" style="203" customWidth="1"/>
    <col min="7170" max="7170" width="41.5703125" style="203" customWidth="1"/>
    <col min="7171" max="7175" width="13.85546875" style="203" customWidth="1"/>
    <col min="7176" max="7176" width="4.42578125" style="203" customWidth="1"/>
    <col min="7177" max="7424" width="11.42578125" style="203"/>
    <col min="7425" max="7425" width="3" style="203" customWidth="1"/>
    <col min="7426" max="7426" width="41.5703125" style="203" customWidth="1"/>
    <col min="7427" max="7431" width="13.85546875" style="203" customWidth="1"/>
    <col min="7432" max="7432" width="4.42578125" style="203" customWidth="1"/>
    <col min="7433" max="7680" width="11.42578125" style="203"/>
    <col min="7681" max="7681" width="3" style="203" customWidth="1"/>
    <col min="7682" max="7682" width="41.5703125" style="203" customWidth="1"/>
    <col min="7683" max="7687" width="13.85546875" style="203" customWidth="1"/>
    <col min="7688" max="7688" width="4.42578125" style="203" customWidth="1"/>
    <col min="7689" max="7936" width="11.42578125" style="203"/>
    <col min="7937" max="7937" width="3" style="203" customWidth="1"/>
    <col min="7938" max="7938" width="41.5703125" style="203" customWidth="1"/>
    <col min="7939" max="7943" width="13.85546875" style="203" customWidth="1"/>
    <col min="7944" max="7944" width="4.42578125" style="203" customWidth="1"/>
    <col min="7945" max="8192" width="11.42578125" style="203"/>
    <col min="8193" max="8193" width="3" style="203" customWidth="1"/>
    <col min="8194" max="8194" width="41.5703125" style="203" customWidth="1"/>
    <col min="8195" max="8199" width="13.85546875" style="203" customWidth="1"/>
    <col min="8200" max="8200" width="4.42578125" style="203" customWidth="1"/>
    <col min="8201" max="8448" width="11.42578125" style="203"/>
    <col min="8449" max="8449" width="3" style="203" customWidth="1"/>
    <col min="8450" max="8450" width="41.5703125" style="203" customWidth="1"/>
    <col min="8451" max="8455" width="13.85546875" style="203" customWidth="1"/>
    <col min="8456" max="8456" width="4.42578125" style="203" customWidth="1"/>
    <col min="8457" max="8704" width="11.42578125" style="203"/>
    <col min="8705" max="8705" width="3" style="203" customWidth="1"/>
    <col min="8706" max="8706" width="41.5703125" style="203" customWidth="1"/>
    <col min="8707" max="8711" width="13.85546875" style="203" customWidth="1"/>
    <col min="8712" max="8712" width="4.42578125" style="203" customWidth="1"/>
    <col min="8713" max="8960" width="11.42578125" style="203"/>
    <col min="8961" max="8961" width="3" style="203" customWidth="1"/>
    <col min="8962" max="8962" width="41.5703125" style="203" customWidth="1"/>
    <col min="8963" max="8967" width="13.85546875" style="203" customWidth="1"/>
    <col min="8968" max="8968" width="4.42578125" style="203" customWidth="1"/>
    <col min="8969" max="9216" width="11.42578125" style="203"/>
    <col min="9217" max="9217" width="3" style="203" customWidth="1"/>
    <col min="9218" max="9218" width="41.5703125" style="203" customWidth="1"/>
    <col min="9219" max="9223" width="13.85546875" style="203" customWidth="1"/>
    <col min="9224" max="9224" width="4.42578125" style="203" customWidth="1"/>
    <col min="9225" max="9472" width="11.42578125" style="203"/>
    <col min="9473" max="9473" width="3" style="203" customWidth="1"/>
    <col min="9474" max="9474" width="41.5703125" style="203" customWidth="1"/>
    <col min="9475" max="9479" width="13.85546875" style="203" customWidth="1"/>
    <col min="9480" max="9480" width="4.42578125" style="203" customWidth="1"/>
    <col min="9481" max="9728" width="11.42578125" style="203"/>
    <col min="9729" max="9729" width="3" style="203" customWidth="1"/>
    <col min="9730" max="9730" width="41.5703125" style="203" customWidth="1"/>
    <col min="9731" max="9735" width="13.85546875" style="203" customWidth="1"/>
    <col min="9736" max="9736" width="4.42578125" style="203" customWidth="1"/>
    <col min="9737" max="9984" width="11.42578125" style="203"/>
    <col min="9985" max="9985" width="3" style="203" customWidth="1"/>
    <col min="9986" max="9986" width="41.5703125" style="203" customWidth="1"/>
    <col min="9987" max="9991" width="13.85546875" style="203" customWidth="1"/>
    <col min="9992" max="9992" width="4.42578125" style="203" customWidth="1"/>
    <col min="9993" max="10240" width="11.42578125" style="203"/>
    <col min="10241" max="10241" width="3" style="203" customWidth="1"/>
    <col min="10242" max="10242" width="41.5703125" style="203" customWidth="1"/>
    <col min="10243" max="10247" width="13.85546875" style="203" customWidth="1"/>
    <col min="10248" max="10248" width="4.42578125" style="203" customWidth="1"/>
    <col min="10249" max="10496" width="11.42578125" style="203"/>
    <col min="10497" max="10497" width="3" style="203" customWidth="1"/>
    <col min="10498" max="10498" width="41.5703125" style="203" customWidth="1"/>
    <col min="10499" max="10503" width="13.85546875" style="203" customWidth="1"/>
    <col min="10504" max="10504" width="4.42578125" style="203" customWidth="1"/>
    <col min="10505" max="10752" width="11.42578125" style="203"/>
    <col min="10753" max="10753" width="3" style="203" customWidth="1"/>
    <col min="10754" max="10754" width="41.5703125" style="203" customWidth="1"/>
    <col min="10755" max="10759" width="13.85546875" style="203" customWidth="1"/>
    <col min="10760" max="10760" width="4.42578125" style="203" customWidth="1"/>
    <col min="10761" max="11008" width="11.42578125" style="203"/>
    <col min="11009" max="11009" width="3" style="203" customWidth="1"/>
    <col min="11010" max="11010" width="41.5703125" style="203" customWidth="1"/>
    <col min="11011" max="11015" width="13.85546875" style="203" customWidth="1"/>
    <col min="11016" max="11016" width="4.42578125" style="203" customWidth="1"/>
    <col min="11017" max="11264" width="11.42578125" style="203"/>
    <col min="11265" max="11265" width="3" style="203" customWidth="1"/>
    <col min="11266" max="11266" width="41.5703125" style="203" customWidth="1"/>
    <col min="11267" max="11271" width="13.85546875" style="203" customWidth="1"/>
    <col min="11272" max="11272" width="4.42578125" style="203" customWidth="1"/>
    <col min="11273" max="11520" width="11.42578125" style="203"/>
    <col min="11521" max="11521" width="3" style="203" customWidth="1"/>
    <col min="11522" max="11522" width="41.5703125" style="203" customWidth="1"/>
    <col min="11523" max="11527" width="13.85546875" style="203" customWidth="1"/>
    <col min="11528" max="11528" width="4.42578125" style="203" customWidth="1"/>
    <col min="11529" max="11776" width="11.42578125" style="203"/>
    <col min="11777" max="11777" width="3" style="203" customWidth="1"/>
    <col min="11778" max="11778" width="41.5703125" style="203" customWidth="1"/>
    <col min="11779" max="11783" width="13.85546875" style="203" customWidth="1"/>
    <col min="11784" max="11784" width="4.42578125" style="203" customWidth="1"/>
    <col min="11785" max="12032" width="11.42578125" style="203"/>
    <col min="12033" max="12033" width="3" style="203" customWidth="1"/>
    <col min="12034" max="12034" width="41.5703125" style="203" customWidth="1"/>
    <col min="12035" max="12039" width="13.85546875" style="203" customWidth="1"/>
    <col min="12040" max="12040" width="4.42578125" style="203" customWidth="1"/>
    <col min="12041" max="12288" width="11.42578125" style="203"/>
    <col min="12289" max="12289" width="3" style="203" customWidth="1"/>
    <col min="12290" max="12290" width="41.5703125" style="203" customWidth="1"/>
    <col min="12291" max="12295" width="13.85546875" style="203" customWidth="1"/>
    <col min="12296" max="12296" width="4.42578125" style="203" customWidth="1"/>
    <col min="12297" max="12544" width="11.42578125" style="203"/>
    <col min="12545" max="12545" width="3" style="203" customWidth="1"/>
    <col min="12546" max="12546" width="41.5703125" style="203" customWidth="1"/>
    <col min="12547" max="12551" width="13.85546875" style="203" customWidth="1"/>
    <col min="12552" max="12552" width="4.42578125" style="203" customWidth="1"/>
    <col min="12553" max="12800" width="11.42578125" style="203"/>
    <col min="12801" max="12801" width="3" style="203" customWidth="1"/>
    <col min="12802" max="12802" width="41.5703125" style="203" customWidth="1"/>
    <col min="12803" max="12807" width="13.85546875" style="203" customWidth="1"/>
    <col min="12808" max="12808" width="4.42578125" style="203" customWidth="1"/>
    <col min="12809" max="13056" width="11.42578125" style="203"/>
    <col min="13057" max="13057" width="3" style="203" customWidth="1"/>
    <col min="13058" max="13058" width="41.5703125" style="203" customWidth="1"/>
    <col min="13059" max="13063" width="13.85546875" style="203" customWidth="1"/>
    <col min="13064" max="13064" width="4.42578125" style="203" customWidth="1"/>
    <col min="13065" max="13312" width="11.42578125" style="203"/>
    <col min="13313" max="13313" width="3" style="203" customWidth="1"/>
    <col min="13314" max="13314" width="41.5703125" style="203" customWidth="1"/>
    <col min="13315" max="13319" width="13.85546875" style="203" customWidth="1"/>
    <col min="13320" max="13320" width="4.42578125" style="203" customWidth="1"/>
    <col min="13321" max="13568" width="11.42578125" style="203"/>
    <col min="13569" max="13569" width="3" style="203" customWidth="1"/>
    <col min="13570" max="13570" width="41.5703125" style="203" customWidth="1"/>
    <col min="13571" max="13575" width="13.85546875" style="203" customWidth="1"/>
    <col min="13576" max="13576" width="4.42578125" style="203" customWidth="1"/>
    <col min="13577" max="13824" width="11.42578125" style="203"/>
    <col min="13825" max="13825" width="3" style="203" customWidth="1"/>
    <col min="13826" max="13826" width="41.5703125" style="203" customWidth="1"/>
    <col min="13827" max="13831" width="13.85546875" style="203" customWidth="1"/>
    <col min="13832" max="13832" width="4.42578125" style="203" customWidth="1"/>
    <col min="13833" max="14080" width="11.42578125" style="203"/>
    <col min="14081" max="14081" width="3" style="203" customWidth="1"/>
    <col min="14082" max="14082" width="41.5703125" style="203" customWidth="1"/>
    <col min="14083" max="14087" width="13.85546875" style="203" customWidth="1"/>
    <col min="14088" max="14088" width="4.42578125" style="203" customWidth="1"/>
    <col min="14089" max="14336" width="11.42578125" style="203"/>
    <col min="14337" max="14337" width="3" style="203" customWidth="1"/>
    <col min="14338" max="14338" width="41.5703125" style="203" customWidth="1"/>
    <col min="14339" max="14343" width="13.85546875" style="203" customWidth="1"/>
    <col min="14344" max="14344" width="4.42578125" style="203" customWidth="1"/>
    <col min="14345" max="14592" width="11.42578125" style="203"/>
    <col min="14593" max="14593" width="3" style="203" customWidth="1"/>
    <col min="14594" max="14594" width="41.5703125" style="203" customWidth="1"/>
    <col min="14595" max="14599" width="13.85546875" style="203" customWidth="1"/>
    <col min="14600" max="14600" width="4.42578125" style="203" customWidth="1"/>
    <col min="14601" max="14848" width="11.42578125" style="203"/>
    <col min="14849" max="14849" width="3" style="203" customWidth="1"/>
    <col min="14850" max="14850" width="41.5703125" style="203" customWidth="1"/>
    <col min="14851" max="14855" width="13.85546875" style="203" customWidth="1"/>
    <col min="14856" max="14856" width="4.42578125" style="203" customWidth="1"/>
    <col min="14857" max="15104" width="11.42578125" style="203"/>
    <col min="15105" max="15105" width="3" style="203" customWidth="1"/>
    <col min="15106" max="15106" width="41.5703125" style="203" customWidth="1"/>
    <col min="15107" max="15111" width="13.85546875" style="203" customWidth="1"/>
    <col min="15112" max="15112" width="4.42578125" style="203" customWidth="1"/>
    <col min="15113" max="15360" width="11.42578125" style="203"/>
    <col min="15361" max="15361" width="3" style="203" customWidth="1"/>
    <col min="15362" max="15362" width="41.5703125" style="203" customWidth="1"/>
    <col min="15363" max="15367" width="13.85546875" style="203" customWidth="1"/>
    <col min="15368" max="15368" width="4.42578125" style="203" customWidth="1"/>
    <col min="15369" max="15616" width="11.42578125" style="203"/>
    <col min="15617" max="15617" width="3" style="203" customWidth="1"/>
    <col min="15618" max="15618" width="41.5703125" style="203" customWidth="1"/>
    <col min="15619" max="15623" width="13.85546875" style="203" customWidth="1"/>
    <col min="15624" max="15624" width="4.42578125" style="203" customWidth="1"/>
    <col min="15625" max="15872" width="11.42578125" style="203"/>
    <col min="15873" max="15873" width="3" style="203" customWidth="1"/>
    <col min="15874" max="15874" width="41.5703125" style="203" customWidth="1"/>
    <col min="15875" max="15879" width="13.85546875" style="203" customWidth="1"/>
    <col min="15880" max="15880" width="4.42578125" style="203" customWidth="1"/>
    <col min="15881" max="16128" width="11.42578125" style="203"/>
    <col min="16129" max="16129" width="3" style="203" customWidth="1"/>
    <col min="16130" max="16130" width="41.5703125" style="203" customWidth="1"/>
    <col min="16131" max="16135" width="13.85546875" style="203" customWidth="1"/>
    <col min="16136" max="16136" width="4.42578125" style="203" customWidth="1"/>
    <col min="16137" max="16384" width="11.42578125" style="203"/>
  </cols>
  <sheetData>
    <row r="2" spans="2:8" ht="22.5" customHeight="1" x14ac:dyDescent="0.25">
      <c r="B2" s="770" t="s">
        <v>174</v>
      </c>
      <c r="C2" s="770"/>
      <c r="D2" s="770"/>
      <c r="E2" s="770"/>
      <c r="F2" s="770"/>
      <c r="G2" s="770"/>
    </row>
    <row r="3" spans="2:8" x14ac:dyDescent="0.25">
      <c r="B3" s="770" t="s">
        <v>28</v>
      </c>
      <c r="C3" s="770" t="s">
        <v>10</v>
      </c>
      <c r="D3" s="770"/>
      <c r="E3" s="770"/>
      <c r="F3" s="770"/>
      <c r="G3" s="770"/>
    </row>
    <row r="4" spans="2:8" x14ac:dyDescent="0.25">
      <c r="B4" s="770"/>
      <c r="C4" s="270">
        <v>1</v>
      </c>
      <c r="D4" s="270">
        <v>2</v>
      </c>
      <c r="E4" s="270">
        <v>3</v>
      </c>
      <c r="F4" s="270">
        <v>4</v>
      </c>
      <c r="G4" s="270">
        <v>5</v>
      </c>
    </row>
    <row r="5" spans="2:8" x14ac:dyDescent="0.25">
      <c r="B5" s="206" t="s">
        <v>175</v>
      </c>
      <c r="C5" s="209">
        <f>C6+C9</f>
        <v>407937.5</v>
      </c>
      <c r="D5" s="209">
        <f>D6+D9</f>
        <v>423606.25</v>
      </c>
      <c r="E5" s="209">
        <f>E6+E9</f>
        <v>440823.125</v>
      </c>
      <c r="F5" s="209">
        <f>F6+F9</f>
        <v>459742</v>
      </c>
      <c r="G5" s="209">
        <f>G6+G9</f>
        <v>480532.09062500001</v>
      </c>
    </row>
    <row r="6" spans="2:8" x14ac:dyDescent="0.25">
      <c r="B6" s="206" t="s">
        <v>176</v>
      </c>
      <c r="C6" s="209">
        <f>SUM(C7:C8)</f>
        <v>352937.5</v>
      </c>
      <c r="D6" s="209">
        <f>SUM(D7:D8)</f>
        <v>368606.25</v>
      </c>
      <c r="E6" s="209">
        <f>SUM(E7:E8)</f>
        <v>385823.125</v>
      </c>
      <c r="F6" s="209">
        <f>SUM(F7:F8)</f>
        <v>404742</v>
      </c>
      <c r="G6" s="209">
        <f>SUM(G7:G8)</f>
        <v>425532.09062500001</v>
      </c>
    </row>
    <row r="7" spans="2:8" x14ac:dyDescent="0.25">
      <c r="B7" s="262" t="s">
        <v>177</v>
      </c>
      <c r="C7" s="263">
        <f>+'COST PROD Y MANT'!G58+'COST PROD Y MANT'!G67</f>
        <v>160437.5</v>
      </c>
      <c r="D7" s="263">
        <f>+'COST PROD Y MANT'!H58+'COST PROD Y MANT'!H67</f>
        <v>176106.25</v>
      </c>
      <c r="E7" s="263">
        <f>+'COST PROD Y MANT'!I58+'COST PROD Y MANT'!I67</f>
        <v>193323.125</v>
      </c>
      <c r="F7" s="263">
        <f>+'COST PROD Y MANT'!J58+'COST PROD Y MANT'!J67</f>
        <v>212242</v>
      </c>
      <c r="G7" s="263">
        <f>+'COST PROD Y MANT'!K58+'COST PROD Y MANT'!K67</f>
        <v>233032.09062500001</v>
      </c>
    </row>
    <row r="8" spans="2:8" x14ac:dyDescent="0.25">
      <c r="B8" s="262" t="s">
        <v>178</v>
      </c>
      <c r="C8" s="263">
        <f>+'COST PROD Y MANT'!G63</f>
        <v>192500</v>
      </c>
      <c r="D8" s="263">
        <f>+'COST PROD Y MANT'!H63</f>
        <v>192500</v>
      </c>
      <c r="E8" s="263">
        <f>+'COST PROD Y MANT'!I63</f>
        <v>192500</v>
      </c>
      <c r="F8" s="263">
        <f>+'COST PROD Y MANT'!J63</f>
        <v>192500</v>
      </c>
      <c r="G8" s="263">
        <f>+'COST PROD Y MANT'!K63</f>
        <v>192500</v>
      </c>
    </row>
    <row r="9" spans="2:8" x14ac:dyDescent="0.25">
      <c r="B9" s="206" t="s">
        <v>179</v>
      </c>
      <c r="C9" s="209">
        <f>SUM(C10:C11)</f>
        <v>55000</v>
      </c>
      <c r="D9" s="209">
        <f>SUM(D10:D11)</f>
        <v>55000</v>
      </c>
      <c r="E9" s="209">
        <f>SUM(E10:E11)</f>
        <v>55000</v>
      </c>
      <c r="F9" s="209">
        <f>SUM(F10:F11)</f>
        <v>55000</v>
      </c>
      <c r="G9" s="209">
        <f>SUM(G10:G11)</f>
        <v>55000</v>
      </c>
    </row>
    <row r="10" spans="2:8" x14ac:dyDescent="0.25">
      <c r="B10" s="262" t="s">
        <v>180</v>
      </c>
      <c r="C10" s="263">
        <f>+'COST PROD Y MANT'!G69</f>
        <v>37500</v>
      </c>
      <c r="D10" s="263">
        <f>+'COST PROD Y MANT'!H69</f>
        <v>37500</v>
      </c>
      <c r="E10" s="263">
        <f>+'COST PROD Y MANT'!I69</f>
        <v>37500</v>
      </c>
      <c r="F10" s="263">
        <f>+'COST PROD Y MANT'!J69</f>
        <v>37500</v>
      </c>
      <c r="G10" s="263">
        <f>+'COST PROD Y MANT'!K69</f>
        <v>37500</v>
      </c>
    </row>
    <row r="11" spans="2:8" x14ac:dyDescent="0.25">
      <c r="B11" s="262" t="s">
        <v>181</v>
      </c>
      <c r="C11" s="263">
        <f>+'COST PROD Y MANT'!G71</f>
        <v>17500</v>
      </c>
      <c r="D11" s="263">
        <f>+'COST PROD Y MANT'!H71</f>
        <v>17500</v>
      </c>
      <c r="E11" s="263">
        <f>+'COST PROD Y MANT'!I71</f>
        <v>17500</v>
      </c>
      <c r="F11" s="263">
        <f>+'COST PROD Y MANT'!J71</f>
        <v>17500</v>
      </c>
      <c r="G11" s="263">
        <f>+'COST PROD Y MANT'!K71</f>
        <v>17500</v>
      </c>
    </row>
    <row r="12" spans="2:8" x14ac:dyDescent="0.25">
      <c r="B12" s="206" t="s">
        <v>182</v>
      </c>
      <c r="C12" s="209">
        <f>SUM(C13:C14)</f>
        <v>52340</v>
      </c>
      <c r="D12" s="209">
        <f>SUM(D13:D14)</f>
        <v>52340</v>
      </c>
      <c r="E12" s="209">
        <f>SUM(E13:E14)</f>
        <v>52340</v>
      </c>
      <c r="F12" s="209">
        <f>SUM(F13:F14)</f>
        <v>52340</v>
      </c>
      <c r="G12" s="209">
        <f>SUM(G13:G14)</f>
        <v>52340</v>
      </c>
    </row>
    <row r="13" spans="2:8" x14ac:dyDescent="0.25">
      <c r="B13" s="262" t="s">
        <v>183</v>
      </c>
      <c r="C13" s="263">
        <f>+'COST PROD Y MANT'!G83</f>
        <v>39500</v>
      </c>
      <c r="D13" s="263">
        <f>+'COST PROD Y MANT'!H83</f>
        <v>39500</v>
      </c>
      <c r="E13" s="263">
        <f>+'COST PROD Y MANT'!I83</f>
        <v>39500</v>
      </c>
      <c r="F13" s="263">
        <f>+'COST PROD Y MANT'!J83</f>
        <v>39500</v>
      </c>
      <c r="G13" s="263">
        <f>+'COST PROD Y MANT'!K83</f>
        <v>39500</v>
      </c>
    </row>
    <row r="14" spans="2:8" x14ac:dyDescent="0.25">
      <c r="B14" s="272" t="s">
        <v>184</v>
      </c>
      <c r="C14" s="273">
        <f>+'COST PROD Y MANT'!G87</f>
        <v>12840</v>
      </c>
      <c r="D14" s="273">
        <f>+'COST PROD Y MANT'!H87</f>
        <v>12840</v>
      </c>
      <c r="E14" s="273">
        <f>+'COST PROD Y MANT'!I87</f>
        <v>12840</v>
      </c>
      <c r="F14" s="273">
        <f>+'COST PROD Y MANT'!J87</f>
        <v>12840</v>
      </c>
      <c r="G14" s="273">
        <f>+'COST PROD Y MANT'!K87</f>
        <v>12840</v>
      </c>
      <c r="H14" s="222"/>
    </row>
    <row r="15" spans="2:8" ht="22.5" x14ac:dyDescent="0.25">
      <c r="B15" s="274" t="s">
        <v>185</v>
      </c>
      <c r="C15" s="209">
        <f>+'DEPRECIAC '!C11</f>
        <v>8774.2317743644071</v>
      </c>
      <c r="D15" s="209">
        <f>+'DEPRECIAC '!D11</f>
        <v>8774.2317743644071</v>
      </c>
      <c r="E15" s="209">
        <f>+'DEPRECIAC '!E11</f>
        <v>8774.2317743644071</v>
      </c>
      <c r="F15" s="209">
        <f>+'DEPRECIAC '!F11</f>
        <v>8774.2317743644071</v>
      </c>
      <c r="G15" s="209">
        <f>+'DEPRECIAC '!G11</f>
        <v>8774.2317743644071</v>
      </c>
      <c r="H15" s="222"/>
    </row>
    <row r="16" spans="2:8" x14ac:dyDescent="0.25">
      <c r="B16" s="206" t="s">
        <v>186</v>
      </c>
      <c r="C16" s="209"/>
      <c r="D16" s="209"/>
      <c r="E16" s="209"/>
      <c r="F16" s="209"/>
      <c r="G16" s="209"/>
      <c r="H16" s="222"/>
    </row>
    <row r="17" spans="2:8" x14ac:dyDescent="0.25">
      <c r="B17" s="262" t="s">
        <v>187</v>
      </c>
      <c r="C17" s="263"/>
      <c r="D17" s="263"/>
      <c r="E17" s="263"/>
      <c r="F17" s="263"/>
      <c r="G17" s="263"/>
      <c r="H17" s="275"/>
    </row>
    <row r="18" spans="2:8" x14ac:dyDescent="0.25">
      <c r="B18" s="227" t="s">
        <v>188</v>
      </c>
      <c r="C18" s="276">
        <f>C16+C15+C12+C5</f>
        <v>469051.73177436442</v>
      </c>
      <c r="D18" s="276">
        <f>D16+D15+D12+D5</f>
        <v>484720.48177436442</v>
      </c>
      <c r="E18" s="276">
        <f>E16+E15+E12+E5</f>
        <v>501937.35677436442</v>
      </c>
      <c r="F18" s="276">
        <f>F16+F15+F12+F5</f>
        <v>520856.23177436442</v>
      </c>
      <c r="G18" s="276">
        <f>G16+G15+G12+G5</f>
        <v>541646.32239936444</v>
      </c>
      <c r="H18" s="222"/>
    </row>
    <row r="19" spans="2:8" x14ac:dyDescent="0.25">
      <c r="B19" s="222"/>
      <c r="C19" s="222"/>
      <c r="D19" s="222"/>
      <c r="E19" s="222"/>
      <c r="F19" s="222"/>
      <c r="G19" s="222"/>
      <c r="H19" s="222"/>
    </row>
    <row r="20" spans="2:8" x14ac:dyDescent="0.25">
      <c r="B20" s="277" t="s">
        <v>192</v>
      </c>
      <c r="C20" s="278">
        <f>+'PLAN-PROD.Y VENTAS'!E21</f>
        <v>683760</v>
      </c>
      <c r="D20" s="278">
        <f>+'PLAN-PROD.Y VENTAS'!F21</f>
        <v>765811.20000000019</v>
      </c>
      <c r="E20" s="278">
        <f>+'PLAN-PROD.Y VENTAS'!G21</f>
        <v>857708.54400000034</v>
      </c>
      <c r="F20" s="278">
        <f>+'PLAN-PROD.Y VENTAS'!H21</f>
        <v>960633.56928000052</v>
      </c>
      <c r="G20" s="278">
        <f>+'PLAN-PROD.Y VENTAS'!I21</f>
        <v>1075909.5975936009</v>
      </c>
      <c r="H20" s="222"/>
    </row>
    <row r="21" spans="2:8" x14ac:dyDescent="0.25">
      <c r="B21" s="222"/>
      <c r="C21" s="222"/>
      <c r="D21" s="222"/>
      <c r="E21" s="222"/>
      <c r="F21" s="222"/>
      <c r="G21" s="222"/>
      <c r="H21" s="222"/>
    </row>
    <row r="22" spans="2:8" x14ac:dyDescent="0.25">
      <c r="B22" s="678" t="s">
        <v>28</v>
      </c>
      <c r="C22" s="678" t="s">
        <v>10</v>
      </c>
      <c r="D22" s="678"/>
      <c r="E22" s="678"/>
      <c r="F22" s="678"/>
      <c r="G22" s="678"/>
      <c r="H22" s="222"/>
    </row>
    <row r="23" spans="2:8" x14ac:dyDescent="0.25">
      <c r="B23" s="678"/>
      <c r="C23" s="255">
        <v>1</v>
      </c>
      <c r="D23" s="255">
        <v>2</v>
      </c>
      <c r="E23" s="255">
        <v>3</v>
      </c>
      <c r="F23" s="255">
        <v>4</v>
      </c>
      <c r="G23" s="255">
        <v>5</v>
      </c>
      <c r="H23" s="222"/>
    </row>
    <row r="24" spans="2:8" x14ac:dyDescent="0.25">
      <c r="B24" s="279" t="s">
        <v>189</v>
      </c>
      <c r="C24" s="271">
        <f>+C18</f>
        <v>469051.73177436442</v>
      </c>
      <c r="D24" s="271">
        <f>+D18</f>
        <v>484720.48177436442</v>
      </c>
      <c r="E24" s="271">
        <f>+E18</f>
        <v>501937.35677436442</v>
      </c>
      <c r="F24" s="271">
        <f>+F18</f>
        <v>520856.23177436442</v>
      </c>
      <c r="G24" s="271">
        <f>+G18</f>
        <v>541646.32239936444</v>
      </c>
      <c r="H24" s="222"/>
    </row>
    <row r="25" spans="2:8" x14ac:dyDescent="0.25">
      <c r="B25" s="279" t="s">
        <v>190</v>
      </c>
      <c r="C25" s="271">
        <f>+'PLAN-PROD.Y VENTAS'!E12</f>
        <v>168.00000000000003</v>
      </c>
      <c r="D25" s="271">
        <f>+'PLAN-PROD.Y VENTAS'!F12</f>
        <v>188.16000000000003</v>
      </c>
      <c r="E25" s="271">
        <f>+'PLAN-PROD.Y VENTAS'!G12</f>
        <v>210.73920000000007</v>
      </c>
      <c r="F25" s="271">
        <f>+'PLAN-PROD.Y VENTAS'!H12</f>
        <v>236.02790400000012</v>
      </c>
      <c r="G25" s="271">
        <f>+'PLAN-PROD.Y VENTAS'!I12</f>
        <v>264.3512524800002</v>
      </c>
      <c r="H25" s="222"/>
    </row>
    <row r="26" spans="2:8" x14ac:dyDescent="0.25">
      <c r="B26" s="279" t="s">
        <v>191</v>
      </c>
      <c r="C26" s="271">
        <f>C24/C25</f>
        <v>2791.9745938950259</v>
      </c>
      <c r="D26" s="271">
        <f>D24/D25</f>
        <v>2576.1080026273617</v>
      </c>
      <c r="E26" s="271">
        <f>E24/E25</f>
        <v>2381.7939746111033</v>
      </c>
      <c r="F26" s="271">
        <f>F24/F25</f>
        <v>2206.7570102828358</v>
      </c>
      <c r="G26" s="271">
        <f>G24/G25</f>
        <v>2048.9644642040926</v>
      </c>
      <c r="H26" s="222"/>
    </row>
    <row r="27" spans="2:8" x14ac:dyDescent="0.25">
      <c r="B27" s="222"/>
      <c r="C27" s="222"/>
      <c r="D27" s="222"/>
      <c r="E27" s="222"/>
      <c r="F27" s="222"/>
      <c r="G27" s="222"/>
      <c r="H27" s="222"/>
    </row>
    <row r="28" spans="2:8" x14ac:dyDescent="0.25">
      <c r="B28" s="222"/>
      <c r="C28" s="222"/>
      <c r="D28" s="222"/>
      <c r="E28" s="222"/>
      <c r="F28" s="222"/>
      <c r="G28" s="222"/>
      <c r="H28" s="222"/>
    </row>
    <row r="29" spans="2:8" x14ac:dyDescent="0.25">
      <c r="B29" s="222"/>
      <c r="C29" s="222"/>
      <c r="D29" s="222"/>
      <c r="E29" s="222"/>
      <c r="F29" s="222"/>
      <c r="G29" s="222"/>
      <c r="H29" s="222"/>
    </row>
    <row r="30" spans="2:8" x14ac:dyDescent="0.25">
      <c r="B30" s="222"/>
      <c r="C30" s="222"/>
      <c r="D30" s="222"/>
      <c r="E30" s="222"/>
      <c r="F30" s="222"/>
      <c r="G30" s="222"/>
      <c r="H30" s="222"/>
    </row>
    <row r="31" spans="2:8" x14ac:dyDescent="0.25">
      <c r="B31" s="222"/>
      <c r="C31" s="222"/>
      <c r="D31" s="222"/>
      <c r="E31" s="222"/>
      <c r="F31" s="222"/>
      <c r="G31" s="222"/>
      <c r="H31" s="222"/>
    </row>
    <row r="32" spans="2:8" x14ac:dyDescent="0.25">
      <c r="B32" s="222"/>
      <c r="C32" s="222"/>
      <c r="D32" s="222"/>
      <c r="E32" s="222"/>
      <c r="F32" s="222"/>
      <c r="G32" s="222"/>
      <c r="H32" s="222"/>
    </row>
    <row r="33" spans="2:8" x14ac:dyDescent="0.25">
      <c r="B33" s="222"/>
      <c r="C33" s="222"/>
      <c r="D33" s="222"/>
      <c r="E33" s="222"/>
      <c r="F33" s="222"/>
      <c r="G33" s="222"/>
      <c r="H33" s="222"/>
    </row>
    <row r="34" spans="2:8" x14ac:dyDescent="0.25">
      <c r="B34" s="222"/>
      <c r="C34" s="222"/>
      <c r="D34" s="222"/>
      <c r="E34" s="222"/>
      <c r="F34" s="222"/>
      <c r="G34" s="222"/>
      <c r="H34" s="222"/>
    </row>
  </sheetData>
  <mergeCells count="5">
    <mergeCell ref="B2:G2"/>
    <mergeCell ref="B3:B4"/>
    <mergeCell ref="C3:G3"/>
    <mergeCell ref="B22:B23"/>
    <mergeCell ref="C22:G22"/>
  </mergeCells>
  <pageMargins left="0.75" right="0.75" top="1" bottom="1" header="0" footer="0"/>
  <pageSetup paperSize="9"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2"/>
  <sheetViews>
    <sheetView topLeftCell="A19" zoomScaleNormal="100" zoomScaleSheetLayoutView="100" workbookViewId="0">
      <selection activeCell="C38" sqref="C38"/>
    </sheetView>
  </sheetViews>
  <sheetFormatPr baseColWidth="10" defaultRowHeight="11.25" x14ac:dyDescent="0.25"/>
  <cols>
    <col min="1" max="1" width="41.7109375" style="203" customWidth="1"/>
    <col min="2" max="2" width="15.7109375" style="203" customWidth="1"/>
    <col min="3" max="3" width="13.42578125" style="203" bestFit="1" customWidth="1"/>
    <col min="4" max="4" width="14.42578125" style="203" bestFit="1" customWidth="1"/>
    <col min="5" max="6" width="14" style="203" bestFit="1" customWidth="1"/>
    <col min="7" max="7" width="15.140625" style="203" customWidth="1"/>
    <col min="8" max="8" width="35.7109375" style="203" customWidth="1"/>
    <col min="9" max="12" width="13.42578125" style="203" bestFit="1" customWidth="1"/>
    <col min="13" max="13" width="14" style="203" bestFit="1" customWidth="1"/>
    <col min="14" max="14" width="4" style="203" customWidth="1"/>
    <col min="15" max="256" width="11.42578125" style="203"/>
    <col min="257" max="257" width="41.7109375" style="203" customWidth="1"/>
    <col min="258" max="258" width="12.42578125" style="203" customWidth="1"/>
    <col min="259" max="263" width="13.42578125" style="203" bestFit="1" customWidth="1"/>
    <col min="264" max="264" width="35.7109375" style="203" customWidth="1"/>
    <col min="265" max="269" width="13.42578125" style="203" bestFit="1" customWidth="1"/>
    <col min="270" max="270" width="4" style="203" customWidth="1"/>
    <col min="271" max="512" width="11.42578125" style="203"/>
    <col min="513" max="513" width="41.7109375" style="203" customWidth="1"/>
    <col min="514" max="514" width="12.42578125" style="203" customWidth="1"/>
    <col min="515" max="519" width="13.42578125" style="203" bestFit="1" customWidth="1"/>
    <col min="520" max="520" width="35.7109375" style="203" customWidth="1"/>
    <col min="521" max="525" width="13.42578125" style="203" bestFit="1" customWidth="1"/>
    <col min="526" max="526" width="4" style="203" customWidth="1"/>
    <col min="527" max="768" width="11.42578125" style="203"/>
    <col min="769" max="769" width="41.7109375" style="203" customWidth="1"/>
    <col min="770" max="770" width="12.42578125" style="203" customWidth="1"/>
    <col min="771" max="775" width="13.42578125" style="203" bestFit="1" customWidth="1"/>
    <col min="776" max="776" width="35.7109375" style="203" customWidth="1"/>
    <col min="777" max="781" width="13.42578125" style="203" bestFit="1" customWidth="1"/>
    <col min="782" max="782" width="4" style="203" customWidth="1"/>
    <col min="783" max="1024" width="11.42578125" style="203"/>
    <col min="1025" max="1025" width="41.7109375" style="203" customWidth="1"/>
    <col min="1026" max="1026" width="12.42578125" style="203" customWidth="1"/>
    <col min="1027" max="1031" width="13.42578125" style="203" bestFit="1" customWidth="1"/>
    <col min="1032" max="1032" width="35.7109375" style="203" customWidth="1"/>
    <col min="1033" max="1037" width="13.42578125" style="203" bestFit="1" customWidth="1"/>
    <col min="1038" max="1038" width="4" style="203" customWidth="1"/>
    <col min="1039" max="1280" width="11.42578125" style="203"/>
    <col min="1281" max="1281" width="41.7109375" style="203" customWidth="1"/>
    <col min="1282" max="1282" width="12.42578125" style="203" customWidth="1"/>
    <col min="1283" max="1287" width="13.42578125" style="203" bestFit="1" customWidth="1"/>
    <col min="1288" max="1288" width="35.7109375" style="203" customWidth="1"/>
    <col min="1289" max="1293" width="13.42578125" style="203" bestFit="1" customWidth="1"/>
    <col min="1294" max="1294" width="4" style="203" customWidth="1"/>
    <col min="1295" max="1536" width="11.42578125" style="203"/>
    <col min="1537" max="1537" width="41.7109375" style="203" customWidth="1"/>
    <col min="1538" max="1538" width="12.42578125" style="203" customWidth="1"/>
    <col min="1539" max="1543" width="13.42578125" style="203" bestFit="1" customWidth="1"/>
    <col min="1544" max="1544" width="35.7109375" style="203" customWidth="1"/>
    <col min="1545" max="1549" width="13.42578125" style="203" bestFit="1" customWidth="1"/>
    <col min="1550" max="1550" width="4" style="203" customWidth="1"/>
    <col min="1551" max="1792" width="11.42578125" style="203"/>
    <col min="1793" max="1793" width="41.7109375" style="203" customWidth="1"/>
    <col min="1794" max="1794" width="12.42578125" style="203" customWidth="1"/>
    <col min="1795" max="1799" width="13.42578125" style="203" bestFit="1" customWidth="1"/>
    <col min="1800" max="1800" width="35.7109375" style="203" customWidth="1"/>
    <col min="1801" max="1805" width="13.42578125" style="203" bestFit="1" customWidth="1"/>
    <col min="1806" max="1806" width="4" style="203" customWidth="1"/>
    <col min="1807" max="2048" width="11.42578125" style="203"/>
    <col min="2049" max="2049" width="41.7109375" style="203" customWidth="1"/>
    <col min="2050" max="2050" width="12.42578125" style="203" customWidth="1"/>
    <col min="2051" max="2055" width="13.42578125" style="203" bestFit="1" customWidth="1"/>
    <col min="2056" max="2056" width="35.7109375" style="203" customWidth="1"/>
    <col min="2057" max="2061" width="13.42578125" style="203" bestFit="1" customWidth="1"/>
    <col min="2062" max="2062" width="4" style="203" customWidth="1"/>
    <col min="2063" max="2304" width="11.42578125" style="203"/>
    <col min="2305" max="2305" width="41.7109375" style="203" customWidth="1"/>
    <col min="2306" max="2306" width="12.42578125" style="203" customWidth="1"/>
    <col min="2307" max="2311" width="13.42578125" style="203" bestFit="1" customWidth="1"/>
    <col min="2312" max="2312" width="35.7109375" style="203" customWidth="1"/>
    <col min="2313" max="2317" width="13.42578125" style="203" bestFit="1" customWidth="1"/>
    <col min="2318" max="2318" width="4" style="203" customWidth="1"/>
    <col min="2319" max="2560" width="11.42578125" style="203"/>
    <col min="2561" max="2561" width="41.7109375" style="203" customWidth="1"/>
    <col min="2562" max="2562" width="12.42578125" style="203" customWidth="1"/>
    <col min="2563" max="2567" width="13.42578125" style="203" bestFit="1" customWidth="1"/>
    <col min="2568" max="2568" width="35.7109375" style="203" customWidth="1"/>
    <col min="2569" max="2573" width="13.42578125" style="203" bestFit="1" customWidth="1"/>
    <col min="2574" max="2574" width="4" style="203" customWidth="1"/>
    <col min="2575" max="2816" width="11.42578125" style="203"/>
    <col min="2817" max="2817" width="41.7109375" style="203" customWidth="1"/>
    <col min="2818" max="2818" width="12.42578125" style="203" customWidth="1"/>
    <col min="2819" max="2823" width="13.42578125" style="203" bestFit="1" customWidth="1"/>
    <col min="2824" max="2824" width="35.7109375" style="203" customWidth="1"/>
    <col min="2825" max="2829" width="13.42578125" style="203" bestFit="1" customWidth="1"/>
    <col min="2830" max="2830" width="4" style="203" customWidth="1"/>
    <col min="2831" max="3072" width="11.42578125" style="203"/>
    <col min="3073" max="3073" width="41.7109375" style="203" customWidth="1"/>
    <col min="3074" max="3074" width="12.42578125" style="203" customWidth="1"/>
    <col min="3075" max="3079" width="13.42578125" style="203" bestFit="1" customWidth="1"/>
    <col min="3080" max="3080" width="35.7109375" style="203" customWidth="1"/>
    <col min="3081" max="3085" width="13.42578125" style="203" bestFit="1" customWidth="1"/>
    <col min="3086" max="3086" width="4" style="203" customWidth="1"/>
    <col min="3087" max="3328" width="11.42578125" style="203"/>
    <col min="3329" max="3329" width="41.7109375" style="203" customWidth="1"/>
    <col min="3330" max="3330" width="12.42578125" style="203" customWidth="1"/>
    <col min="3331" max="3335" width="13.42578125" style="203" bestFit="1" customWidth="1"/>
    <col min="3336" max="3336" width="35.7109375" style="203" customWidth="1"/>
    <col min="3337" max="3341" width="13.42578125" style="203" bestFit="1" customWidth="1"/>
    <col min="3342" max="3342" width="4" style="203" customWidth="1"/>
    <col min="3343" max="3584" width="11.42578125" style="203"/>
    <col min="3585" max="3585" width="41.7109375" style="203" customWidth="1"/>
    <col min="3586" max="3586" width="12.42578125" style="203" customWidth="1"/>
    <col min="3587" max="3591" width="13.42578125" style="203" bestFit="1" customWidth="1"/>
    <col min="3592" max="3592" width="35.7109375" style="203" customWidth="1"/>
    <col min="3593" max="3597" width="13.42578125" style="203" bestFit="1" customWidth="1"/>
    <col min="3598" max="3598" width="4" style="203" customWidth="1"/>
    <col min="3599" max="3840" width="11.42578125" style="203"/>
    <col min="3841" max="3841" width="41.7109375" style="203" customWidth="1"/>
    <col min="3842" max="3842" width="12.42578125" style="203" customWidth="1"/>
    <col min="3843" max="3847" width="13.42578125" style="203" bestFit="1" customWidth="1"/>
    <col min="3848" max="3848" width="35.7109375" style="203" customWidth="1"/>
    <col min="3849" max="3853" width="13.42578125" style="203" bestFit="1" customWidth="1"/>
    <col min="3854" max="3854" width="4" style="203" customWidth="1"/>
    <col min="3855" max="4096" width="11.42578125" style="203"/>
    <col min="4097" max="4097" width="41.7109375" style="203" customWidth="1"/>
    <col min="4098" max="4098" width="12.42578125" style="203" customWidth="1"/>
    <col min="4099" max="4103" width="13.42578125" style="203" bestFit="1" customWidth="1"/>
    <col min="4104" max="4104" width="35.7109375" style="203" customWidth="1"/>
    <col min="4105" max="4109" width="13.42578125" style="203" bestFit="1" customWidth="1"/>
    <col min="4110" max="4110" width="4" style="203" customWidth="1"/>
    <col min="4111" max="4352" width="11.42578125" style="203"/>
    <col min="4353" max="4353" width="41.7109375" style="203" customWidth="1"/>
    <col min="4354" max="4354" width="12.42578125" style="203" customWidth="1"/>
    <col min="4355" max="4359" width="13.42578125" style="203" bestFit="1" customWidth="1"/>
    <col min="4360" max="4360" width="35.7109375" style="203" customWidth="1"/>
    <col min="4361" max="4365" width="13.42578125" style="203" bestFit="1" customWidth="1"/>
    <col min="4366" max="4366" width="4" style="203" customWidth="1"/>
    <col min="4367" max="4608" width="11.42578125" style="203"/>
    <col min="4609" max="4609" width="41.7109375" style="203" customWidth="1"/>
    <col min="4610" max="4610" width="12.42578125" style="203" customWidth="1"/>
    <col min="4611" max="4615" width="13.42578125" style="203" bestFit="1" customWidth="1"/>
    <col min="4616" max="4616" width="35.7109375" style="203" customWidth="1"/>
    <col min="4617" max="4621" width="13.42578125" style="203" bestFit="1" customWidth="1"/>
    <col min="4622" max="4622" width="4" style="203" customWidth="1"/>
    <col min="4623" max="4864" width="11.42578125" style="203"/>
    <col min="4865" max="4865" width="41.7109375" style="203" customWidth="1"/>
    <col min="4866" max="4866" width="12.42578125" style="203" customWidth="1"/>
    <col min="4867" max="4871" width="13.42578125" style="203" bestFit="1" customWidth="1"/>
    <col min="4872" max="4872" width="35.7109375" style="203" customWidth="1"/>
    <col min="4873" max="4877" width="13.42578125" style="203" bestFit="1" customWidth="1"/>
    <col min="4878" max="4878" width="4" style="203" customWidth="1"/>
    <col min="4879" max="5120" width="11.42578125" style="203"/>
    <col min="5121" max="5121" width="41.7109375" style="203" customWidth="1"/>
    <col min="5122" max="5122" width="12.42578125" style="203" customWidth="1"/>
    <col min="5123" max="5127" width="13.42578125" style="203" bestFit="1" customWidth="1"/>
    <col min="5128" max="5128" width="35.7109375" style="203" customWidth="1"/>
    <col min="5129" max="5133" width="13.42578125" style="203" bestFit="1" customWidth="1"/>
    <col min="5134" max="5134" width="4" style="203" customWidth="1"/>
    <col min="5135" max="5376" width="11.42578125" style="203"/>
    <col min="5377" max="5377" width="41.7109375" style="203" customWidth="1"/>
    <col min="5378" max="5378" width="12.42578125" style="203" customWidth="1"/>
    <col min="5379" max="5383" width="13.42578125" style="203" bestFit="1" customWidth="1"/>
    <col min="5384" max="5384" width="35.7109375" style="203" customWidth="1"/>
    <col min="5385" max="5389" width="13.42578125" style="203" bestFit="1" customWidth="1"/>
    <col min="5390" max="5390" width="4" style="203" customWidth="1"/>
    <col min="5391" max="5632" width="11.42578125" style="203"/>
    <col min="5633" max="5633" width="41.7109375" style="203" customWidth="1"/>
    <col min="5634" max="5634" width="12.42578125" style="203" customWidth="1"/>
    <col min="5635" max="5639" width="13.42578125" style="203" bestFit="1" customWidth="1"/>
    <col min="5640" max="5640" width="35.7109375" style="203" customWidth="1"/>
    <col min="5641" max="5645" width="13.42578125" style="203" bestFit="1" customWidth="1"/>
    <col min="5646" max="5646" width="4" style="203" customWidth="1"/>
    <col min="5647" max="5888" width="11.42578125" style="203"/>
    <col min="5889" max="5889" width="41.7109375" style="203" customWidth="1"/>
    <col min="5890" max="5890" width="12.42578125" style="203" customWidth="1"/>
    <col min="5891" max="5895" width="13.42578125" style="203" bestFit="1" customWidth="1"/>
    <col min="5896" max="5896" width="35.7109375" style="203" customWidth="1"/>
    <col min="5897" max="5901" width="13.42578125" style="203" bestFit="1" customWidth="1"/>
    <col min="5902" max="5902" width="4" style="203" customWidth="1"/>
    <col min="5903" max="6144" width="11.42578125" style="203"/>
    <col min="6145" max="6145" width="41.7109375" style="203" customWidth="1"/>
    <col min="6146" max="6146" width="12.42578125" style="203" customWidth="1"/>
    <col min="6147" max="6151" width="13.42578125" style="203" bestFit="1" customWidth="1"/>
    <col min="6152" max="6152" width="35.7109375" style="203" customWidth="1"/>
    <col min="6153" max="6157" width="13.42578125" style="203" bestFit="1" customWidth="1"/>
    <col min="6158" max="6158" width="4" style="203" customWidth="1"/>
    <col min="6159" max="6400" width="11.42578125" style="203"/>
    <col min="6401" max="6401" width="41.7109375" style="203" customWidth="1"/>
    <col min="6402" max="6402" width="12.42578125" style="203" customWidth="1"/>
    <col min="6403" max="6407" width="13.42578125" style="203" bestFit="1" customWidth="1"/>
    <col min="6408" max="6408" width="35.7109375" style="203" customWidth="1"/>
    <col min="6409" max="6413" width="13.42578125" style="203" bestFit="1" customWidth="1"/>
    <col min="6414" max="6414" width="4" style="203" customWidth="1"/>
    <col min="6415" max="6656" width="11.42578125" style="203"/>
    <col min="6657" max="6657" width="41.7109375" style="203" customWidth="1"/>
    <col min="6658" max="6658" width="12.42578125" style="203" customWidth="1"/>
    <col min="6659" max="6663" width="13.42578125" style="203" bestFit="1" customWidth="1"/>
    <col min="6664" max="6664" width="35.7109375" style="203" customWidth="1"/>
    <col min="6665" max="6669" width="13.42578125" style="203" bestFit="1" customWidth="1"/>
    <col min="6670" max="6670" width="4" style="203" customWidth="1"/>
    <col min="6671" max="6912" width="11.42578125" style="203"/>
    <col min="6913" max="6913" width="41.7109375" style="203" customWidth="1"/>
    <col min="6914" max="6914" width="12.42578125" style="203" customWidth="1"/>
    <col min="6915" max="6919" width="13.42578125" style="203" bestFit="1" customWidth="1"/>
    <col min="6920" max="6920" width="35.7109375" style="203" customWidth="1"/>
    <col min="6921" max="6925" width="13.42578125" style="203" bestFit="1" customWidth="1"/>
    <col min="6926" max="6926" width="4" style="203" customWidth="1"/>
    <col min="6927" max="7168" width="11.42578125" style="203"/>
    <col min="7169" max="7169" width="41.7109375" style="203" customWidth="1"/>
    <col min="7170" max="7170" width="12.42578125" style="203" customWidth="1"/>
    <col min="7171" max="7175" width="13.42578125" style="203" bestFit="1" customWidth="1"/>
    <col min="7176" max="7176" width="35.7109375" style="203" customWidth="1"/>
    <col min="7177" max="7181" width="13.42578125" style="203" bestFit="1" customWidth="1"/>
    <col min="7182" max="7182" width="4" style="203" customWidth="1"/>
    <col min="7183" max="7424" width="11.42578125" style="203"/>
    <col min="7425" max="7425" width="41.7109375" style="203" customWidth="1"/>
    <col min="7426" max="7426" width="12.42578125" style="203" customWidth="1"/>
    <col min="7427" max="7431" width="13.42578125" style="203" bestFit="1" customWidth="1"/>
    <col min="7432" max="7432" width="35.7109375" style="203" customWidth="1"/>
    <col min="7433" max="7437" width="13.42578125" style="203" bestFit="1" customWidth="1"/>
    <col min="7438" max="7438" width="4" style="203" customWidth="1"/>
    <col min="7439" max="7680" width="11.42578125" style="203"/>
    <col min="7681" max="7681" width="41.7109375" style="203" customWidth="1"/>
    <col min="7682" max="7682" width="12.42578125" style="203" customWidth="1"/>
    <col min="7683" max="7687" width="13.42578125" style="203" bestFit="1" customWidth="1"/>
    <col min="7688" max="7688" width="35.7109375" style="203" customWidth="1"/>
    <col min="7689" max="7693" width="13.42578125" style="203" bestFit="1" customWidth="1"/>
    <col min="7694" max="7694" width="4" style="203" customWidth="1"/>
    <col min="7695" max="7936" width="11.42578125" style="203"/>
    <col min="7937" max="7937" width="41.7109375" style="203" customWidth="1"/>
    <col min="7938" max="7938" width="12.42578125" style="203" customWidth="1"/>
    <col min="7939" max="7943" width="13.42578125" style="203" bestFit="1" customWidth="1"/>
    <col min="7944" max="7944" width="35.7109375" style="203" customWidth="1"/>
    <col min="7945" max="7949" width="13.42578125" style="203" bestFit="1" customWidth="1"/>
    <col min="7950" max="7950" width="4" style="203" customWidth="1"/>
    <col min="7951" max="8192" width="11.42578125" style="203"/>
    <col min="8193" max="8193" width="41.7109375" style="203" customWidth="1"/>
    <col min="8194" max="8194" width="12.42578125" style="203" customWidth="1"/>
    <col min="8195" max="8199" width="13.42578125" style="203" bestFit="1" customWidth="1"/>
    <col min="8200" max="8200" width="35.7109375" style="203" customWidth="1"/>
    <col min="8201" max="8205" width="13.42578125" style="203" bestFit="1" customWidth="1"/>
    <col min="8206" max="8206" width="4" style="203" customWidth="1"/>
    <col min="8207" max="8448" width="11.42578125" style="203"/>
    <col min="8449" max="8449" width="41.7109375" style="203" customWidth="1"/>
    <col min="8450" max="8450" width="12.42578125" style="203" customWidth="1"/>
    <col min="8451" max="8455" width="13.42578125" style="203" bestFit="1" customWidth="1"/>
    <col min="8456" max="8456" width="35.7109375" style="203" customWidth="1"/>
    <col min="8457" max="8461" width="13.42578125" style="203" bestFit="1" customWidth="1"/>
    <col min="8462" max="8462" width="4" style="203" customWidth="1"/>
    <col min="8463" max="8704" width="11.42578125" style="203"/>
    <col min="8705" max="8705" width="41.7109375" style="203" customWidth="1"/>
    <col min="8706" max="8706" width="12.42578125" style="203" customWidth="1"/>
    <col min="8707" max="8711" width="13.42578125" style="203" bestFit="1" customWidth="1"/>
    <col min="8712" max="8712" width="35.7109375" style="203" customWidth="1"/>
    <col min="8713" max="8717" width="13.42578125" style="203" bestFit="1" customWidth="1"/>
    <col min="8718" max="8718" width="4" style="203" customWidth="1"/>
    <col min="8719" max="8960" width="11.42578125" style="203"/>
    <col min="8961" max="8961" width="41.7109375" style="203" customWidth="1"/>
    <col min="8962" max="8962" width="12.42578125" style="203" customWidth="1"/>
    <col min="8963" max="8967" width="13.42578125" style="203" bestFit="1" customWidth="1"/>
    <col min="8968" max="8968" width="35.7109375" style="203" customWidth="1"/>
    <col min="8969" max="8973" width="13.42578125" style="203" bestFit="1" customWidth="1"/>
    <col min="8974" max="8974" width="4" style="203" customWidth="1"/>
    <col min="8975" max="9216" width="11.42578125" style="203"/>
    <col min="9217" max="9217" width="41.7109375" style="203" customWidth="1"/>
    <col min="9218" max="9218" width="12.42578125" style="203" customWidth="1"/>
    <col min="9219" max="9223" width="13.42578125" style="203" bestFit="1" customWidth="1"/>
    <col min="9224" max="9224" width="35.7109375" style="203" customWidth="1"/>
    <col min="9225" max="9229" width="13.42578125" style="203" bestFit="1" customWidth="1"/>
    <col min="9230" max="9230" width="4" style="203" customWidth="1"/>
    <col min="9231" max="9472" width="11.42578125" style="203"/>
    <col min="9473" max="9473" width="41.7109375" style="203" customWidth="1"/>
    <col min="9474" max="9474" width="12.42578125" style="203" customWidth="1"/>
    <col min="9475" max="9479" width="13.42578125" style="203" bestFit="1" customWidth="1"/>
    <col min="9480" max="9480" width="35.7109375" style="203" customWidth="1"/>
    <col min="9481" max="9485" width="13.42578125" style="203" bestFit="1" customWidth="1"/>
    <col min="9486" max="9486" width="4" style="203" customWidth="1"/>
    <col min="9487" max="9728" width="11.42578125" style="203"/>
    <col min="9729" max="9729" width="41.7109375" style="203" customWidth="1"/>
    <col min="9730" max="9730" width="12.42578125" style="203" customWidth="1"/>
    <col min="9731" max="9735" width="13.42578125" style="203" bestFit="1" customWidth="1"/>
    <col min="9736" max="9736" width="35.7109375" style="203" customWidth="1"/>
    <col min="9737" max="9741" width="13.42578125" style="203" bestFit="1" customWidth="1"/>
    <col min="9742" max="9742" width="4" style="203" customWidth="1"/>
    <col min="9743" max="9984" width="11.42578125" style="203"/>
    <col min="9985" max="9985" width="41.7109375" style="203" customWidth="1"/>
    <col min="9986" max="9986" width="12.42578125" style="203" customWidth="1"/>
    <col min="9987" max="9991" width="13.42578125" style="203" bestFit="1" customWidth="1"/>
    <col min="9992" max="9992" width="35.7109375" style="203" customWidth="1"/>
    <col min="9993" max="9997" width="13.42578125" style="203" bestFit="1" customWidth="1"/>
    <col min="9998" max="9998" width="4" style="203" customWidth="1"/>
    <col min="9999" max="10240" width="11.42578125" style="203"/>
    <col min="10241" max="10241" width="41.7109375" style="203" customWidth="1"/>
    <col min="10242" max="10242" width="12.42578125" style="203" customWidth="1"/>
    <col min="10243" max="10247" width="13.42578125" style="203" bestFit="1" customWidth="1"/>
    <col min="10248" max="10248" width="35.7109375" style="203" customWidth="1"/>
    <col min="10249" max="10253" width="13.42578125" style="203" bestFit="1" customWidth="1"/>
    <col min="10254" max="10254" width="4" style="203" customWidth="1"/>
    <col min="10255" max="10496" width="11.42578125" style="203"/>
    <col min="10497" max="10497" width="41.7109375" style="203" customWidth="1"/>
    <col min="10498" max="10498" width="12.42578125" style="203" customWidth="1"/>
    <col min="10499" max="10503" width="13.42578125" style="203" bestFit="1" customWidth="1"/>
    <col min="10504" max="10504" width="35.7109375" style="203" customWidth="1"/>
    <col min="10505" max="10509" width="13.42578125" style="203" bestFit="1" customWidth="1"/>
    <col min="10510" max="10510" width="4" style="203" customWidth="1"/>
    <col min="10511" max="10752" width="11.42578125" style="203"/>
    <col min="10753" max="10753" width="41.7109375" style="203" customWidth="1"/>
    <col min="10754" max="10754" width="12.42578125" style="203" customWidth="1"/>
    <col min="10755" max="10759" width="13.42578125" style="203" bestFit="1" customWidth="1"/>
    <col min="10760" max="10760" width="35.7109375" style="203" customWidth="1"/>
    <col min="10761" max="10765" width="13.42578125" style="203" bestFit="1" customWidth="1"/>
    <col min="10766" max="10766" width="4" style="203" customWidth="1"/>
    <col min="10767" max="11008" width="11.42578125" style="203"/>
    <col min="11009" max="11009" width="41.7109375" style="203" customWidth="1"/>
    <col min="11010" max="11010" width="12.42578125" style="203" customWidth="1"/>
    <col min="11011" max="11015" width="13.42578125" style="203" bestFit="1" customWidth="1"/>
    <col min="11016" max="11016" width="35.7109375" style="203" customWidth="1"/>
    <col min="11017" max="11021" width="13.42578125" style="203" bestFit="1" customWidth="1"/>
    <col min="11022" max="11022" width="4" style="203" customWidth="1"/>
    <col min="11023" max="11264" width="11.42578125" style="203"/>
    <col min="11265" max="11265" width="41.7109375" style="203" customWidth="1"/>
    <col min="11266" max="11266" width="12.42578125" style="203" customWidth="1"/>
    <col min="11267" max="11271" width="13.42578125" style="203" bestFit="1" customWidth="1"/>
    <col min="11272" max="11272" width="35.7109375" style="203" customWidth="1"/>
    <col min="11273" max="11277" width="13.42578125" style="203" bestFit="1" customWidth="1"/>
    <col min="11278" max="11278" width="4" style="203" customWidth="1"/>
    <col min="11279" max="11520" width="11.42578125" style="203"/>
    <col min="11521" max="11521" width="41.7109375" style="203" customWidth="1"/>
    <col min="11522" max="11522" width="12.42578125" style="203" customWidth="1"/>
    <col min="11523" max="11527" width="13.42578125" style="203" bestFit="1" customWidth="1"/>
    <col min="11528" max="11528" width="35.7109375" style="203" customWidth="1"/>
    <col min="11529" max="11533" width="13.42578125" style="203" bestFit="1" customWidth="1"/>
    <col min="11534" max="11534" width="4" style="203" customWidth="1"/>
    <col min="11535" max="11776" width="11.42578125" style="203"/>
    <col min="11777" max="11777" width="41.7109375" style="203" customWidth="1"/>
    <col min="11778" max="11778" width="12.42578125" style="203" customWidth="1"/>
    <col min="11779" max="11783" width="13.42578125" style="203" bestFit="1" customWidth="1"/>
    <col min="11784" max="11784" width="35.7109375" style="203" customWidth="1"/>
    <col min="11785" max="11789" width="13.42578125" style="203" bestFit="1" customWidth="1"/>
    <col min="11790" max="11790" width="4" style="203" customWidth="1"/>
    <col min="11791" max="12032" width="11.42578125" style="203"/>
    <col min="12033" max="12033" width="41.7109375" style="203" customWidth="1"/>
    <col min="12034" max="12034" width="12.42578125" style="203" customWidth="1"/>
    <col min="12035" max="12039" width="13.42578125" style="203" bestFit="1" customWidth="1"/>
    <col min="12040" max="12040" width="35.7109375" style="203" customWidth="1"/>
    <col min="12041" max="12045" width="13.42578125" style="203" bestFit="1" customWidth="1"/>
    <col min="12046" max="12046" width="4" style="203" customWidth="1"/>
    <col min="12047" max="12288" width="11.42578125" style="203"/>
    <col min="12289" max="12289" width="41.7109375" style="203" customWidth="1"/>
    <col min="12290" max="12290" width="12.42578125" style="203" customWidth="1"/>
    <col min="12291" max="12295" width="13.42578125" style="203" bestFit="1" customWidth="1"/>
    <col min="12296" max="12296" width="35.7109375" style="203" customWidth="1"/>
    <col min="12297" max="12301" width="13.42578125" style="203" bestFit="1" customWidth="1"/>
    <col min="12302" max="12302" width="4" style="203" customWidth="1"/>
    <col min="12303" max="12544" width="11.42578125" style="203"/>
    <col min="12545" max="12545" width="41.7109375" style="203" customWidth="1"/>
    <col min="12546" max="12546" width="12.42578125" style="203" customWidth="1"/>
    <col min="12547" max="12551" width="13.42578125" style="203" bestFit="1" customWidth="1"/>
    <col min="12552" max="12552" width="35.7109375" style="203" customWidth="1"/>
    <col min="12553" max="12557" width="13.42578125" style="203" bestFit="1" customWidth="1"/>
    <col min="12558" max="12558" width="4" style="203" customWidth="1"/>
    <col min="12559" max="12800" width="11.42578125" style="203"/>
    <col min="12801" max="12801" width="41.7109375" style="203" customWidth="1"/>
    <col min="12802" max="12802" width="12.42578125" style="203" customWidth="1"/>
    <col min="12803" max="12807" width="13.42578125" style="203" bestFit="1" customWidth="1"/>
    <col min="12808" max="12808" width="35.7109375" style="203" customWidth="1"/>
    <col min="12809" max="12813" width="13.42578125" style="203" bestFit="1" customWidth="1"/>
    <col min="12814" max="12814" width="4" style="203" customWidth="1"/>
    <col min="12815" max="13056" width="11.42578125" style="203"/>
    <col min="13057" max="13057" width="41.7109375" style="203" customWidth="1"/>
    <col min="13058" max="13058" width="12.42578125" style="203" customWidth="1"/>
    <col min="13059" max="13063" width="13.42578125" style="203" bestFit="1" customWidth="1"/>
    <col min="13064" max="13064" width="35.7109375" style="203" customWidth="1"/>
    <col min="13065" max="13069" width="13.42578125" style="203" bestFit="1" customWidth="1"/>
    <col min="13070" max="13070" width="4" style="203" customWidth="1"/>
    <col min="13071" max="13312" width="11.42578125" style="203"/>
    <col min="13313" max="13313" width="41.7109375" style="203" customWidth="1"/>
    <col min="13314" max="13314" width="12.42578125" style="203" customWidth="1"/>
    <col min="13315" max="13319" width="13.42578125" style="203" bestFit="1" customWidth="1"/>
    <col min="13320" max="13320" width="35.7109375" style="203" customWidth="1"/>
    <col min="13321" max="13325" width="13.42578125" style="203" bestFit="1" customWidth="1"/>
    <col min="13326" max="13326" width="4" style="203" customWidth="1"/>
    <col min="13327" max="13568" width="11.42578125" style="203"/>
    <col min="13569" max="13569" width="41.7109375" style="203" customWidth="1"/>
    <col min="13570" max="13570" width="12.42578125" style="203" customWidth="1"/>
    <col min="13571" max="13575" width="13.42578125" style="203" bestFit="1" customWidth="1"/>
    <col min="13576" max="13576" width="35.7109375" style="203" customWidth="1"/>
    <col min="13577" max="13581" width="13.42578125" style="203" bestFit="1" customWidth="1"/>
    <col min="13582" max="13582" width="4" style="203" customWidth="1"/>
    <col min="13583" max="13824" width="11.42578125" style="203"/>
    <col min="13825" max="13825" width="41.7109375" style="203" customWidth="1"/>
    <col min="13826" max="13826" width="12.42578125" style="203" customWidth="1"/>
    <col min="13827" max="13831" width="13.42578125" style="203" bestFit="1" customWidth="1"/>
    <col min="13832" max="13832" width="35.7109375" style="203" customWidth="1"/>
    <col min="13833" max="13837" width="13.42578125" style="203" bestFit="1" customWidth="1"/>
    <col min="13838" max="13838" width="4" style="203" customWidth="1"/>
    <col min="13839" max="14080" width="11.42578125" style="203"/>
    <col min="14081" max="14081" width="41.7109375" style="203" customWidth="1"/>
    <col min="14082" max="14082" width="12.42578125" style="203" customWidth="1"/>
    <col min="14083" max="14087" width="13.42578125" style="203" bestFit="1" customWidth="1"/>
    <col min="14088" max="14088" width="35.7109375" style="203" customWidth="1"/>
    <col min="14089" max="14093" width="13.42578125" style="203" bestFit="1" customWidth="1"/>
    <col min="14094" max="14094" width="4" style="203" customWidth="1"/>
    <col min="14095" max="14336" width="11.42578125" style="203"/>
    <col min="14337" max="14337" width="41.7109375" style="203" customWidth="1"/>
    <col min="14338" max="14338" width="12.42578125" style="203" customWidth="1"/>
    <col min="14339" max="14343" width="13.42578125" style="203" bestFit="1" customWidth="1"/>
    <col min="14344" max="14344" width="35.7109375" style="203" customWidth="1"/>
    <col min="14345" max="14349" width="13.42578125" style="203" bestFit="1" customWidth="1"/>
    <col min="14350" max="14350" width="4" style="203" customWidth="1"/>
    <col min="14351" max="14592" width="11.42578125" style="203"/>
    <col min="14593" max="14593" width="41.7109375" style="203" customWidth="1"/>
    <col min="14594" max="14594" width="12.42578125" style="203" customWidth="1"/>
    <col min="14595" max="14599" width="13.42578125" style="203" bestFit="1" customWidth="1"/>
    <col min="14600" max="14600" width="35.7109375" style="203" customWidth="1"/>
    <col min="14601" max="14605" width="13.42578125" style="203" bestFit="1" customWidth="1"/>
    <col min="14606" max="14606" width="4" style="203" customWidth="1"/>
    <col min="14607" max="14848" width="11.42578125" style="203"/>
    <col min="14849" max="14849" width="41.7109375" style="203" customWidth="1"/>
    <col min="14850" max="14850" width="12.42578125" style="203" customWidth="1"/>
    <col min="14851" max="14855" width="13.42578125" style="203" bestFit="1" customWidth="1"/>
    <col min="14856" max="14856" width="35.7109375" style="203" customWidth="1"/>
    <col min="14857" max="14861" width="13.42578125" style="203" bestFit="1" customWidth="1"/>
    <col min="14862" max="14862" width="4" style="203" customWidth="1"/>
    <col min="14863" max="15104" width="11.42578125" style="203"/>
    <col min="15105" max="15105" width="41.7109375" style="203" customWidth="1"/>
    <col min="15106" max="15106" width="12.42578125" style="203" customWidth="1"/>
    <col min="15107" max="15111" width="13.42578125" style="203" bestFit="1" customWidth="1"/>
    <col min="15112" max="15112" width="35.7109375" style="203" customWidth="1"/>
    <col min="15113" max="15117" width="13.42578125" style="203" bestFit="1" customWidth="1"/>
    <col min="15118" max="15118" width="4" style="203" customWidth="1"/>
    <col min="15119" max="15360" width="11.42578125" style="203"/>
    <col min="15361" max="15361" width="41.7109375" style="203" customWidth="1"/>
    <col min="15362" max="15362" width="12.42578125" style="203" customWidth="1"/>
    <col min="15363" max="15367" width="13.42578125" style="203" bestFit="1" customWidth="1"/>
    <col min="15368" max="15368" width="35.7109375" style="203" customWidth="1"/>
    <col min="15369" max="15373" width="13.42578125" style="203" bestFit="1" customWidth="1"/>
    <col min="15374" max="15374" width="4" style="203" customWidth="1"/>
    <col min="15375" max="15616" width="11.42578125" style="203"/>
    <col min="15617" max="15617" width="41.7109375" style="203" customWidth="1"/>
    <col min="15618" max="15618" width="12.42578125" style="203" customWidth="1"/>
    <col min="15619" max="15623" width="13.42578125" style="203" bestFit="1" customWidth="1"/>
    <col min="15624" max="15624" width="35.7109375" style="203" customWidth="1"/>
    <col min="15625" max="15629" width="13.42578125" style="203" bestFit="1" customWidth="1"/>
    <col min="15630" max="15630" width="4" style="203" customWidth="1"/>
    <col min="15631" max="15872" width="11.42578125" style="203"/>
    <col min="15873" max="15873" width="41.7109375" style="203" customWidth="1"/>
    <col min="15874" max="15874" width="12.42578125" style="203" customWidth="1"/>
    <col min="15875" max="15879" width="13.42578125" style="203" bestFit="1" customWidth="1"/>
    <col min="15880" max="15880" width="35.7109375" style="203" customWidth="1"/>
    <col min="15881" max="15885" width="13.42578125" style="203" bestFit="1" customWidth="1"/>
    <col min="15886" max="15886" width="4" style="203" customWidth="1"/>
    <col min="15887" max="16128" width="11.42578125" style="203"/>
    <col min="16129" max="16129" width="41.7109375" style="203" customWidth="1"/>
    <col min="16130" max="16130" width="12.42578125" style="203" customWidth="1"/>
    <col min="16131" max="16135" width="13.42578125" style="203" bestFit="1" customWidth="1"/>
    <col min="16136" max="16136" width="35.7109375" style="203" customWidth="1"/>
    <col min="16137" max="16141" width="13.42578125" style="203" bestFit="1" customWidth="1"/>
    <col min="16142" max="16142" width="4" style="203" customWidth="1"/>
    <col min="16143" max="16384" width="11.42578125" style="203"/>
  </cols>
  <sheetData>
    <row r="2" spans="1:13" x14ac:dyDescent="0.25">
      <c r="A2" s="778" t="s">
        <v>142</v>
      </c>
      <c r="B2" s="778"/>
      <c r="C2" s="778"/>
      <c r="D2" s="778"/>
      <c r="E2" s="778"/>
      <c r="F2" s="778"/>
      <c r="H2" s="771" t="s">
        <v>141</v>
      </c>
      <c r="I2" s="771"/>
      <c r="J2" s="771"/>
      <c r="K2" s="771"/>
      <c r="L2" s="771"/>
      <c r="M2" s="771"/>
    </row>
    <row r="3" spans="1:13" ht="12.75" customHeight="1" x14ac:dyDescent="0.25">
      <c r="A3" s="772" t="s">
        <v>28</v>
      </c>
      <c r="B3" s="773" t="s">
        <v>10</v>
      </c>
      <c r="C3" s="774"/>
      <c r="D3" s="774"/>
      <c r="E3" s="774"/>
      <c r="F3" s="775"/>
      <c r="G3" s="260"/>
      <c r="H3" s="772" t="s">
        <v>28</v>
      </c>
      <c r="I3" s="773" t="s">
        <v>10</v>
      </c>
      <c r="J3" s="774"/>
      <c r="K3" s="774"/>
      <c r="L3" s="774"/>
      <c r="M3" s="775"/>
    </row>
    <row r="4" spans="1:13" x14ac:dyDescent="0.25">
      <c r="A4" s="772"/>
      <c r="B4" s="257">
        <v>1</v>
      </c>
      <c r="C4" s="257">
        <v>2</v>
      </c>
      <c r="D4" s="257">
        <v>3</v>
      </c>
      <c r="E4" s="257">
        <v>4</v>
      </c>
      <c r="F4" s="257">
        <v>5</v>
      </c>
      <c r="H4" s="772"/>
      <c r="I4" s="257">
        <v>1</v>
      </c>
      <c r="J4" s="257">
        <v>2</v>
      </c>
      <c r="K4" s="257">
        <v>3</v>
      </c>
      <c r="L4" s="257">
        <v>4</v>
      </c>
      <c r="M4" s="257">
        <v>5</v>
      </c>
    </row>
    <row r="5" spans="1:13" x14ac:dyDescent="0.25">
      <c r="A5" s="206" t="s">
        <v>143</v>
      </c>
      <c r="B5" s="261">
        <f>+SUM(B6:B7)</f>
        <v>683760</v>
      </c>
      <c r="C5" s="261">
        <f>+SUM(C6:C7)</f>
        <v>765811.20000000019</v>
      </c>
      <c r="D5" s="261">
        <f>+SUM(D6:D7)</f>
        <v>857708.54400000034</v>
      </c>
      <c r="E5" s="261">
        <f>+SUM(E6:E7)</f>
        <v>960633.56928000052</v>
      </c>
      <c r="F5" s="261">
        <f>+SUM(F6:F7)</f>
        <v>1212000.3085967789</v>
      </c>
      <c r="H5" s="206" t="s">
        <v>143</v>
      </c>
      <c r="I5" s="261">
        <f>+SUM(I6:I7)</f>
        <v>683760</v>
      </c>
      <c r="J5" s="261">
        <f>+SUM(J6:J7)</f>
        <v>765811.20000000019</v>
      </c>
      <c r="K5" s="261">
        <f>+SUM(K6:K7)</f>
        <v>857708.54400000034</v>
      </c>
      <c r="L5" s="261">
        <f>+SUM(L6:L7)</f>
        <v>960633.56928000052</v>
      </c>
      <c r="M5" s="261">
        <f>+SUM(M6:M7)</f>
        <v>1212000.3085967789</v>
      </c>
    </row>
    <row r="6" spans="1:13" x14ac:dyDescent="0.25">
      <c r="A6" s="262" t="s">
        <v>202</v>
      </c>
      <c r="B6" s="263">
        <f>+'INGRESOS '!R7</f>
        <v>683760</v>
      </c>
      <c r="C6" s="263">
        <f>+'INGRESOS '!R8</f>
        <v>765811.20000000019</v>
      </c>
      <c r="D6" s="263">
        <f>'INGRESOS '!R9</f>
        <v>857708.54400000034</v>
      </c>
      <c r="E6" s="263">
        <f>+'INGRESOS '!R10</f>
        <v>960633.56928000052</v>
      </c>
      <c r="F6" s="263">
        <f>+'INGRESOS '!R11</f>
        <v>1075909.5975936009</v>
      </c>
      <c r="H6" s="262" t="s">
        <v>57</v>
      </c>
      <c r="I6" s="263">
        <f>B6</f>
        <v>683760</v>
      </c>
      <c r="J6" s="263">
        <f>C6</f>
        <v>765811.20000000019</v>
      </c>
      <c r="K6" s="263">
        <f>D6</f>
        <v>857708.54400000034</v>
      </c>
      <c r="L6" s="263">
        <f>E6</f>
        <v>960633.56928000052</v>
      </c>
      <c r="M6" s="263">
        <f>F6</f>
        <v>1075909.5975936009</v>
      </c>
    </row>
    <row r="7" spans="1:13" x14ac:dyDescent="0.25">
      <c r="A7" s="262" t="s">
        <v>203</v>
      </c>
      <c r="B7" s="263"/>
      <c r="C7" s="263"/>
      <c r="D7" s="263"/>
      <c r="E7" s="263"/>
      <c r="F7" s="263">
        <f>+'DEPRECIAC '!H11</f>
        <v>136090.71100317797</v>
      </c>
      <c r="H7" s="262" t="s">
        <v>144</v>
      </c>
      <c r="I7" s="263"/>
      <c r="J7" s="263"/>
      <c r="K7" s="263"/>
      <c r="L7" s="263"/>
      <c r="M7" s="263">
        <f>+F7</f>
        <v>136090.71100317797</v>
      </c>
    </row>
    <row r="8" spans="1:13" s="210" customFormat="1" x14ac:dyDescent="0.25">
      <c r="A8" s="206" t="s">
        <v>145</v>
      </c>
      <c r="B8" s="210">
        <f>+'PPTO DE EGRES'!C5</f>
        <v>407937.5</v>
      </c>
      <c r="C8" s="209">
        <f>+'PPTO DE EGRES'!D5</f>
        <v>423606.25</v>
      </c>
      <c r="D8" s="209">
        <f>+'PPTO DE EGRES'!E5</f>
        <v>440823.125</v>
      </c>
      <c r="E8" s="209">
        <f>+'PPTO DE EGRES'!F5</f>
        <v>459742</v>
      </c>
      <c r="F8" s="209">
        <f>+'PPTO DE EGRES'!G5</f>
        <v>480532.09062500001</v>
      </c>
      <c r="H8" s="206" t="s">
        <v>145</v>
      </c>
      <c r="I8" s="209">
        <f>C8</f>
        <v>423606.25</v>
      </c>
      <c r="J8" s="209">
        <f>+C8</f>
        <v>423606.25</v>
      </c>
      <c r="K8" s="209">
        <f>D8</f>
        <v>440823.125</v>
      </c>
      <c r="L8" s="209">
        <f>E8</f>
        <v>459742</v>
      </c>
      <c r="M8" s="209">
        <f>F8</f>
        <v>480532.09062500001</v>
      </c>
    </row>
    <row r="9" spans="1:13" s="210" customFormat="1" x14ac:dyDescent="0.25">
      <c r="A9" s="206" t="s">
        <v>146</v>
      </c>
      <c r="B9" s="209">
        <f>B5-B8</f>
        <v>275822.5</v>
      </c>
      <c r="C9" s="209">
        <f>+C5+C8</f>
        <v>1189417.4500000002</v>
      </c>
      <c r="D9" s="209">
        <f>D5-D8</f>
        <v>416885.41900000034</v>
      </c>
      <c r="E9" s="209">
        <f>E5-E8</f>
        <v>500891.56928000052</v>
      </c>
      <c r="F9" s="209">
        <f>F5-F8</f>
        <v>731468.21797177894</v>
      </c>
      <c r="H9" s="206" t="s">
        <v>146</v>
      </c>
      <c r="I9" s="209">
        <f>I6-I8</f>
        <v>260153.75</v>
      </c>
      <c r="J9" s="209">
        <f>J6-J8</f>
        <v>342204.95000000019</v>
      </c>
      <c r="K9" s="209">
        <f>K6-K8</f>
        <v>416885.41900000034</v>
      </c>
      <c r="L9" s="209">
        <f>L6-L8</f>
        <v>500891.56928000052</v>
      </c>
      <c r="M9" s="209">
        <f>M6-M8</f>
        <v>595377.50696860091</v>
      </c>
    </row>
    <row r="10" spans="1:13" x14ac:dyDescent="0.25">
      <c r="A10" s="206" t="s">
        <v>147</v>
      </c>
      <c r="B10" s="209">
        <f>SUM(B11:B12)</f>
        <v>52340</v>
      </c>
      <c r="C10" s="209">
        <f>SUM(C11:C12)</f>
        <v>52340</v>
      </c>
      <c r="D10" s="209">
        <f>SUM(D11:D12)</f>
        <v>52340</v>
      </c>
      <c r="E10" s="209">
        <f>SUM(E11:E12)</f>
        <v>52340</v>
      </c>
      <c r="F10" s="209">
        <f>SUM(F11:F12)</f>
        <v>52340</v>
      </c>
      <c r="H10" s="206" t="s">
        <v>147</v>
      </c>
      <c r="I10" s="209">
        <f>I11+I12</f>
        <v>52340</v>
      </c>
      <c r="J10" s="209">
        <f>J11+J12</f>
        <v>52340</v>
      </c>
      <c r="K10" s="209">
        <f>K11+K12</f>
        <v>52340</v>
      </c>
      <c r="L10" s="209">
        <f>L11+L12</f>
        <v>52340</v>
      </c>
      <c r="M10" s="209">
        <f>M11+M12</f>
        <v>52340</v>
      </c>
    </row>
    <row r="11" spans="1:13" x14ac:dyDescent="0.25">
      <c r="A11" s="217" t="s">
        <v>148</v>
      </c>
      <c r="B11" s="263">
        <f>+'PPTO DE EGRES'!C13</f>
        <v>39500</v>
      </c>
      <c r="C11" s="263">
        <f>+'PPTO DE EGRES'!D13</f>
        <v>39500</v>
      </c>
      <c r="D11" s="263">
        <f>+'PPTO DE EGRES'!E13</f>
        <v>39500</v>
      </c>
      <c r="E11" s="263">
        <f>+'PPTO DE EGRES'!F13</f>
        <v>39500</v>
      </c>
      <c r="F11" s="263">
        <f>+'PPTO DE EGRES'!G13</f>
        <v>39500</v>
      </c>
      <c r="H11" s="217" t="s">
        <v>148</v>
      </c>
      <c r="I11" s="263">
        <f>B11</f>
        <v>39500</v>
      </c>
      <c r="J11" s="263">
        <f t="shared" ref="J11:M12" si="0">C11</f>
        <v>39500</v>
      </c>
      <c r="K11" s="263">
        <f t="shared" si="0"/>
        <v>39500</v>
      </c>
      <c r="L11" s="263">
        <f t="shared" si="0"/>
        <v>39500</v>
      </c>
      <c r="M11" s="263">
        <f t="shared" si="0"/>
        <v>39500</v>
      </c>
    </row>
    <row r="12" spans="1:13" x14ac:dyDescent="0.25">
      <c r="A12" s="217" t="s">
        <v>149</v>
      </c>
      <c r="B12" s="263">
        <f>+'PPTO DE EGRES'!C14</f>
        <v>12840</v>
      </c>
      <c r="C12" s="263">
        <f>+'PPTO DE EGRES'!D14</f>
        <v>12840</v>
      </c>
      <c r="D12" s="263">
        <f>+'PPTO DE EGRES'!E14</f>
        <v>12840</v>
      </c>
      <c r="E12" s="263">
        <f>+'PPTO DE EGRES'!F14</f>
        <v>12840</v>
      </c>
      <c r="F12" s="263">
        <f>+'PPTO DE EGRES'!G14</f>
        <v>12840</v>
      </c>
      <c r="H12" s="217" t="s">
        <v>149</v>
      </c>
      <c r="I12" s="263">
        <f>B12</f>
        <v>12840</v>
      </c>
      <c r="J12" s="263">
        <f t="shared" si="0"/>
        <v>12840</v>
      </c>
      <c r="K12" s="263">
        <f t="shared" si="0"/>
        <v>12840</v>
      </c>
      <c r="L12" s="263">
        <f t="shared" si="0"/>
        <v>12840</v>
      </c>
      <c r="M12" s="263">
        <f t="shared" si="0"/>
        <v>12840</v>
      </c>
    </row>
    <row r="13" spans="1:13" x14ac:dyDescent="0.25">
      <c r="A13" s="206" t="s">
        <v>150</v>
      </c>
      <c r="B13" s="209">
        <f>+'PPTO DE EGRES'!C15</f>
        <v>8774.2317743644071</v>
      </c>
      <c r="C13" s="209">
        <f>+'PPTO DE EGRES'!D15</f>
        <v>8774.2317743644071</v>
      </c>
      <c r="D13" s="209">
        <f>+'PPTO DE EGRES'!E15</f>
        <v>8774.2317743644071</v>
      </c>
      <c r="E13" s="209">
        <f>+'PPTO DE EGRES'!F15</f>
        <v>8774.2317743644071</v>
      </c>
      <c r="F13" s="209">
        <f>+'PPTO DE EGRES'!G15</f>
        <v>8774.2317743644071</v>
      </c>
      <c r="H13" s="206" t="s">
        <v>150</v>
      </c>
      <c r="I13" s="209">
        <f>C13</f>
        <v>8774.2317743644071</v>
      </c>
      <c r="J13" s="209">
        <f>D13</f>
        <v>8774.2317743644071</v>
      </c>
      <c r="K13" s="209">
        <f>E13</f>
        <v>8774.2317743644071</v>
      </c>
      <c r="L13" s="209">
        <f>F13</f>
        <v>8774.2317743644071</v>
      </c>
      <c r="M13" s="209">
        <f>G13</f>
        <v>0</v>
      </c>
    </row>
    <row r="14" spans="1:13" s="210" customFormat="1" x14ac:dyDescent="0.25">
      <c r="A14" s="206" t="s">
        <v>151</v>
      </c>
      <c r="B14" s="209">
        <f>B9-B10-B13</f>
        <v>214708.26822563561</v>
      </c>
      <c r="C14" s="209">
        <f>C9-C10-C13</f>
        <v>1128303.2182256358</v>
      </c>
      <c r="D14" s="209">
        <f>D9-D10-D13</f>
        <v>355771.18722563592</v>
      </c>
      <c r="E14" s="209">
        <f>E9-E10-E13</f>
        <v>439777.3375056361</v>
      </c>
      <c r="F14" s="209">
        <f>F9-F10-F13</f>
        <v>670353.98619741458</v>
      </c>
      <c r="H14" s="206" t="s">
        <v>151</v>
      </c>
      <c r="I14" s="209">
        <f>I9-I10-I13</f>
        <v>199039.51822563561</v>
      </c>
      <c r="J14" s="209">
        <f>J9-J10-J13</f>
        <v>281090.71822563576</v>
      </c>
      <c r="K14" s="209">
        <f>K9-K10-K13</f>
        <v>355771.18722563592</v>
      </c>
      <c r="L14" s="209">
        <f>L9-L10-L13</f>
        <v>439777.3375056361</v>
      </c>
      <c r="M14" s="209">
        <f>M9-M10-M13</f>
        <v>543037.50696860091</v>
      </c>
    </row>
    <row r="15" spans="1:13" x14ac:dyDescent="0.25">
      <c r="A15" s="217" t="s">
        <v>204</v>
      </c>
      <c r="B15" s="263"/>
      <c r="C15" s="263"/>
      <c r="D15" s="263"/>
      <c r="E15" s="263"/>
      <c r="F15" s="263"/>
      <c r="H15" s="217" t="s">
        <v>270</v>
      </c>
      <c r="I15" s="263">
        <f>I14*0.295</f>
        <v>58716.657876562502</v>
      </c>
      <c r="J15" s="263">
        <f>J14*0.295</f>
        <v>82921.761876562552</v>
      </c>
      <c r="K15" s="263">
        <f>K14*0.295</f>
        <v>104952.50023156259</v>
      </c>
      <c r="L15" s="263">
        <f>L14*0.295</f>
        <v>129734.31456416265</v>
      </c>
      <c r="M15" s="263">
        <f>M14*0.295</f>
        <v>160196.06455573725</v>
      </c>
    </row>
    <row r="16" spans="1:13" s="210" customFormat="1" x14ac:dyDescent="0.25">
      <c r="A16" s="206" t="s">
        <v>152</v>
      </c>
      <c r="B16" s="209">
        <f>B14-B15</f>
        <v>214708.26822563561</v>
      </c>
      <c r="C16" s="209">
        <f>C14-C15</f>
        <v>1128303.2182256358</v>
      </c>
      <c r="D16" s="209">
        <f>D14-D15</f>
        <v>355771.18722563592</v>
      </c>
      <c r="E16" s="209">
        <f>E14-E15</f>
        <v>439777.3375056361</v>
      </c>
      <c r="F16" s="209">
        <f>F14-F15</f>
        <v>670353.98619741458</v>
      </c>
      <c r="H16" s="206" t="s">
        <v>153</v>
      </c>
      <c r="I16" s="209">
        <f>I14-I15</f>
        <v>140322.8603490731</v>
      </c>
      <c r="J16" s="209">
        <f>J14-J15</f>
        <v>198168.95634907321</v>
      </c>
      <c r="K16" s="209">
        <f>K14-K15</f>
        <v>250818.68699407333</v>
      </c>
      <c r="L16" s="209">
        <f>L14-L15</f>
        <v>310043.02294147346</v>
      </c>
      <c r="M16" s="209">
        <f>M14-M15</f>
        <v>382841.44241286366</v>
      </c>
    </row>
    <row r="17" spans="1:13" x14ac:dyDescent="0.25">
      <c r="A17" s="217" t="s">
        <v>305</v>
      </c>
      <c r="B17" s="263">
        <f>B16*0.295</f>
        <v>63338.939126562502</v>
      </c>
      <c r="C17" s="263">
        <f>C16*0.295</f>
        <v>332849.44937656255</v>
      </c>
      <c r="D17" s="263">
        <f>D16*0.295</f>
        <v>104952.50023156259</v>
      </c>
      <c r="E17" s="263">
        <f>E16*0.295</f>
        <v>129734.31456416265</v>
      </c>
      <c r="F17" s="263">
        <f>F16*0.295</f>
        <v>197754.4259282373</v>
      </c>
      <c r="H17" s="222"/>
    </row>
    <row r="18" spans="1:13" s="210" customFormat="1" x14ac:dyDescent="0.25">
      <c r="A18" s="206" t="s">
        <v>153</v>
      </c>
      <c r="B18" s="209">
        <f>B16-B17</f>
        <v>151369.3290990731</v>
      </c>
      <c r="C18" s="209">
        <f>C16-C17</f>
        <v>795453.76884907321</v>
      </c>
      <c r="D18" s="209">
        <f>D16-D17</f>
        <v>250818.68699407333</v>
      </c>
      <c r="E18" s="209">
        <f>E16-E17</f>
        <v>310043.02294147346</v>
      </c>
      <c r="F18" s="209">
        <f>F16-F17</f>
        <v>472599.56026917731</v>
      </c>
      <c r="H18" s="206" t="s">
        <v>154</v>
      </c>
      <c r="I18" s="208">
        <f>B23</f>
        <v>213224.54863166666</v>
      </c>
      <c r="J18" s="203"/>
      <c r="K18" s="203"/>
      <c r="L18" s="203"/>
      <c r="M18" s="203"/>
    </row>
    <row r="19" spans="1:13" x14ac:dyDescent="0.25">
      <c r="A19" s="260" t="s">
        <v>155</v>
      </c>
      <c r="B19" s="222"/>
      <c r="C19" s="264">
        <f>+B5/C5</f>
        <v>0.89285714285714268</v>
      </c>
      <c r="D19" s="264">
        <f>+D5/C5</f>
        <v>1.1200000000000001</v>
      </c>
      <c r="E19" s="264">
        <f>+E5/D5</f>
        <v>1.1200000000000001</v>
      </c>
      <c r="F19" s="264">
        <f>+F5/E5</f>
        <v>1.261667661171969</v>
      </c>
      <c r="G19" s="222"/>
    </row>
    <row r="20" spans="1:13" x14ac:dyDescent="0.25">
      <c r="A20" s="222"/>
      <c r="B20" s="222"/>
      <c r="C20" s="222"/>
      <c r="D20" s="222"/>
      <c r="E20" s="222"/>
      <c r="F20" s="222"/>
      <c r="G20" s="222"/>
    </row>
    <row r="21" spans="1:13" x14ac:dyDescent="0.25">
      <c r="A21" s="537" t="s">
        <v>346</v>
      </c>
      <c r="B21" s="538">
        <v>0.29499999999999998</v>
      </c>
      <c r="C21" s="222"/>
      <c r="D21" s="222"/>
      <c r="E21" s="222"/>
      <c r="F21" s="222"/>
      <c r="G21" s="222"/>
    </row>
    <row r="22" spans="1:13" x14ac:dyDescent="0.25">
      <c r="A22" s="537"/>
      <c r="B22" s="537"/>
      <c r="C22" s="222"/>
      <c r="D22" s="222"/>
      <c r="E22" s="222"/>
      <c r="F22" s="222"/>
      <c r="G22" s="222"/>
    </row>
    <row r="23" spans="1:13" x14ac:dyDescent="0.25">
      <c r="A23" s="206" t="s">
        <v>154</v>
      </c>
      <c r="B23" s="209">
        <f>+INVERSION!C13</f>
        <v>213224.54863166666</v>
      </c>
      <c r="C23" s="222"/>
      <c r="D23" s="222"/>
      <c r="E23" s="222"/>
      <c r="F23" s="222"/>
      <c r="G23" s="222"/>
    </row>
    <row r="24" spans="1:13" x14ac:dyDescent="0.25">
      <c r="A24" s="222"/>
      <c r="B24" s="222"/>
      <c r="C24" s="222"/>
      <c r="D24" s="260" t="s">
        <v>156</v>
      </c>
      <c r="E24" s="222"/>
      <c r="F24" s="222"/>
      <c r="G24" s="222"/>
    </row>
    <row r="25" spans="1:13" ht="12.75" customHeight="1" x14ac:dyDescent="0.25">
      <c r="A25" s="776" t="s">
        <v>35</v>
      </c>
      <c r="B25" s="773" t="s">
        <v>10</v>
      </c>
      <c r="C25" s="774"/>
      <c r="D25" s="774"/>
      <c r="E25" s="774"/>
      <c r="F25" s="775"/>
      <c r="H25" s="222"/>
      <c r="I25" s="222"/>
      <c r="J25" s="222"/>
      <c r="K25" s="222"/>
      <c r="L25" s="222"/>
      <c r="M25" s="222"/>
    </row>
    <row r="26" spans="1:13" x14ac:dyDescent="0.25">
      <c r="A26" s="777"/>
      <c r="B26" s="257">
        <v>1</v>
      </c>
      <c r="C26" s="257">
        <v>2</v>
      </c>
      <c r="D26" s="257">
        <v>3</v>
      </c>
      <c r="E26" s="257">
        <v>4</v>
      </c>
      <c r="F26" s="257">
        <v>5</v>
      </c>
      <c r="H26" s="222"/>
      <c r="I26" s="222"/>
      <c r="J26" s="222"/>
      <c r="K26" s="222"/>
      <c r="L26" s="222"/>
      <c r="M26" s="222"/>
    </row>
    <row r="27" spans="1:13" s="210" customFormat="1" x14ac:dyDescent="0.25">
      <c r="A27" s="206" t="s">
        <v>157</v>
      </c>
      <c r="B27" s="209">
        <f>SUM(B28:B30)</f>
        <v>21614.231774364409</v>
      </c>
      <c r="C27" s="209">
        <f t="shared" ref="C27:E27" si="1">SUM(C28:C30)</f>
        <v>21614.231774364409</v>
      </c>
      <c r="D27" s="209">
        <f t="shared" si="1"/>
        <v>21614.231774364409</v>
      </c>
      <c r="E27" s="209">
        <f t="shared" si="1"/>
        <v>21614.231774364409</v>
      </c>
      <c r="F27" s="209">
        <f>SUM(F28:F30)</f>
        <v>21614.231774364409</v>
      </c>
      <c r="G27" s="210" t="s">
        <v>158</v>
      </c>
      <c r="H27" s="265"/>
      <c r="I27" s="265"/>
      <c r="J27" s="265"/>
      <c r="K27" s="265"/>
      <c r="L27" s="265"/>
      <c r="M27" s="265"/>
    </row>
    <row r="28" spans="1:13" x14ac:dyDescent="0.25">
      <c r="A28" s="217" t="s">
        <v>159</v>
      </c>
      <c r="B28" s="263">
        <f>B13</f>
        <v>8774.2317743644071</v>
      </c>
      <c r="C28" s="263">
        <f>C13</f>
        <v>8774.2317743644071</v>
      </c>
      <c r="D28" s="263">
        <f>D13</f>
        <v>8774.2317743644071</v>
      </c>
      <c r="E28" s="263">
        <f>E13</f>
        <v>8774.2317743644071</v>
      </c>
      <c r="F28" s="263">
        <f>F13</f>
        <v>8774.2317743644071</v>
      </c>
      <c r="H28" s="265"/>
      <c r="I28" s="265"/>
      <c r="J28" s="265"/>
      <c r="K28" s="265"/>
      <c r="L28" s="265"/>
      <c r="M28" s="265"/>
    </row>
    <row r="29" spans="1:13" x14ac:dyDescent="0.25">
      <c r="A29" s="217" t="s">
        <v>160</v>
      </c>
      <c r="B29" s="263">
        <f>B15</f>
        <v>0</v>
      </c>
      <c r="C29" s="263">
        <f>C15</f>
        <v>0</v>
      </c>
      <c r="D29" s="263">
        <f>D15</f>
        <v>0</v>
      </c>
      <c r="E29" s="263">
        <f>E15</f>
        <v>0</v>
      </c>
      <c r="F29" s="263">
        <f>F15</f>
        <v>0</v>
      </c>
      <c r="H29" s="222"/>
      <c r="I29" s="222"/>
      <c r="J29" s="222"/>
      <c r="K29" s="222"/>
      <c r="L29" s="222"/>
      <c r="M29" s="222"/>
    </row>
    <row r="30" spans="1:13" x14ac:dyDescent="0.25">
      <c r="A30" s="217" t="s">
        <v>90</v>
      </c>
      <c r="B30" s="263">
        <f>B12</f>
        <v>12840</v>
      </c>
      <c r="C30" s="263">
        <f>C12</f>
        <v>12840</v>
      </c>
      <c r="D30" s="263">
        <f>D12</f>
        <v>12840</v>
      </c>
      <c r="E30" s="263">
        <f>E12</f>
        <v>12840</v>
      </c>
      <c r="F30" s="263">
        <f>F12</f>
        <v>12840</v>
      </c>
    </row>
    <row r="31" spans="1:13" s="210" customFormat="1" x14ac:dyDescent="0.25">
      <c r="A31" s="206" t="s">
        <v>161</v>
      </c>
      <c r="B31" s="209">
        <f>+B32+B33</f>
        <v>447437.5</v>
      </c>
      <c r="C31" s="209">
        <f t="shared" ref="C31:F31" si="2">+C32+C33</f>
        <v>463106.25</v>
      </c>
      <c r="D31" s="209">
        <f t="shared" si="2"/>
        <v>480323.125</v>
      </c>
      <c r="E31" s="209">
        <f t="shared" si="2"/>
        <v>499242</v>
      </c>
      <c r="F31" s="209">
        <f t="shared" si="2"/>
        <v>520032.09062500001</v>
      </c>
    </row>
    <row r="32" spans="1:13" x14ac:dyDescent="0.25">
      <c r="A32" s="217" t="s">
        <v>162</v>
      </c>
      <c r="B32" s="263">
        <f>+B8</f>
        <v>407937.5</v>
      </c>
      <c r="C32" s="263">
        <f t="shared" ref="C32:F32" si="3">+C8</f>
        <v>423606.25</v>
      </c>
      <c r="D32" s="263">
        <f t="shared" si="3"/>
        <v>440823.125</v>
      </c>
      <c r="E32" s="263">
        <f t="shared" si="3"/>
        <v>459742</v>
      </c>
      <c r="F32" s="263">
        <f t="shared" si="3"/>
        <v>480532.09062500001</v>
      </c>
    </row>
    <row r="33" spans="1:10" x14ac:dyDescent="0.25">
      <c r="A33" s="217" t="s">
        <v>163</v>
      </c>
      <c r="B33" s="263">
        <f>B11</f>
        <v>39500</v>
      </c>
      <c r="C33" s="263">
        <f>C11</f>
        <v>39500</v>
      </c>
      <c r="D33" s="263">
        <f>D11</f>
        <v>39500</v>
      </c>
      <c r="E33" s="263">
        <f>E11</f>
        <v>39500</v>
      </c>
      <c r="F33" s="263">
        <f>F11</f>
        <v>39500</v>
      </c>
    </row>
    <row r="34" spans="1:10" s="210" customFormat="1" x14ac:dyDescent="0.25">
      <c r="A34" s="206" t="s">
        <v>164</v>
      </c>
      <c r="B34" s="209">
        <f>B27+B31</f>
        <v>469051.73177436442</v>
      </c>
      <c r="C34" s="209">
        <f>C27+C31</f>
        <v>484720.48177436442</v>
      </c>
      <c r="D34" s="209">
        <f>D27+D31</f>
        <v>501937.35677436442</v>
      </c>
      <c r="E34" s="209">
        <f>E27+E31</f>
        <v>520856.23177436442</v>
      </c>
      <c r="F34" s="209">
        <f>F27+F31</f>
        <v>541646.32239936444</v>
      </c>
    </row>
    <row r="35" spans="1:10" x14ac:dyDescent="0.25">
      <c r="A35" s="217" t="s">
        <v>165</v>
      </c>
      <c r="B35" s="263">
        <f>+'INGRESOS '!Q7</f>
        <v>168.00000000000003</v>
      </c>
      <c r="C35" s="263">
        <f>+'INGRESOS '!Q8</f>
        <v>188.16000000000003</v>
      </c>
      <c r="D35" s="263">
        <f>+'INGRESOS '!Q9</f>
        <v>210.73920000000007</v>
      </c>
      <c r="E35" s="263">
        <f>+'INGRESOS '!Q10</f>
        <v>236.02790400000012</v>
      </c>
      <c r="F35" s="263">
        <f>+'INGRESOS '!Q11</f>
        <v>264.3512524800002</v>
      </c>
      <c r="G35" s="210" t="s">
        <v>166</v>
      </c>
    </row>
    <row r="36" spans="1:10" x14ac:dyDescent="0.25">
      <c r="A36" s="217" t="s">
        <v>167</v>
      </c>
      <c r="B36" s="263">
        <f>B31/B35</f>
        <v>2663.3184523809518</v>
      </c>
      <c r="C36" s="263">
        <f t="shared" ref="C36:F36" si="4">C31/C35</f>
        <v>2461.2364477040815</v>
      </c>
      <c r="D36" s="263">
        <f>D31/D35</f>
        <v>2279.230086286746</v>
      </c>
      <c r="E36" s="263">
        <f t="shared" si="4"/>
        <v>2115.1821099932308</v>
      </c>
      <c r="F36" s="263">
        <f t="shared" si="4"/>
        <v>1967.2011603740884</v>
      </c>
      <c r="I36" s="266"/>
    </row>
    <row r="37" spans="1:10" x14ac:dyDescent="0.25">
      <c r="A37" s="217" t="s">
        <v>168</v>
      </c>
      <c r="B37" s="263">
        <f>+'INGRESOS '!S7</f>
        <v>105193.84615384616</v>
      </c>
      <c r="C37" s="263">
        <f>+'INGRESOS '!S8</f>
        <v>117817.10769230772</v>
      </c>
      <c r="D37" s="263">
        <f>+'INGRESOS '!S9</f>
        <v>131955.16061538467</v>
      </c>
      <c r="E37" s="263">
        <f>+'INGRESOS '!S10</f>
        <v>147789.77988923085</v>
      </c>
      <c r="F37" s="263">
        <f>+'INGRESOS '!U18</f>
        <v>1234631.0098318446</v>
      </c>
      <c r="I37" s="266"/>
      <c r="J37" s="266"/>
    </row>
    <row r="38" spans="1:10" s="210" customFormat="1" x14ac:dyDescent="0.25">
      <c r="A38" s="206" t="s">
        <v>169</v>
      </c>
      <c r="B38" s="267">
        <f>+B27/(B37-B36)</f>
        <v>0.21080776875837273</v>
      </c>
      <c r="C38" s="267">
        <f t="shared" ref="C38:E38" si="5">+C27/(C37-C36)</f>
        <v>0.18737001889165242</v>
      </c>
      <c r="D38" s="267">
        <f t="shared" si="5"/>
        <v>0.16667882533153985</v>
      </c>
      <c r="E38" s="267">
        <f t="shared" si="5"/>
        <v>0.1483733753438583</v>
      </c>
      <c r="F38" s="267">
        <f>+F27/(F37-F36)</f>
        <v>1.7534571569566566E-2</v>
      </c>
    </row>
    <row r="39" spans="1:10" s="210" customFormat="1" x14ac:dyDescent="0.25">
      <c r="A39" s="206" t="s">
        <v>170</v>
      </c>
      <c r="B39" s="209"/>
      <c r="C39" s="209">
        <f>C38*C37</f>
        <v>22075.393694067545</v>
      </c>
      <c r="D39" s="209">
        <f>D38*D37</f>
        <v>21994.131167806987</v>
      </c>
      <c r="E39" s="209">
        <f>E38*E37</f>
        <v>21928.06848349105</v>
      </c>
      <c r="F39" s="209">
        <f>F38*F37</f>
        <v>21648.725803902722</v>
      </c>
    </row>
    <row r="40" spans="1:10" x14ac:dyDescent="0.25">
      <c r="A40" s="210" t="s">
        <v>155</v>
      </c>
    </row>
    <row r="41" spans="1:10" x14ac:dyDescent="0.25">
      <c r="H41" s="266"/>
    </row>
    <row r="42" spans="1:10" x14ac:dyDescent="0.25">
      <c r="B42" s="222" t="s">
        <v>171</v>
      </c>
    </row>
    <row r="43" spans="1:10" x14ac:dyDescent="0.25">
      <c r="B43" s="210"/>
      <c r="C43" s="210"/>
      <c r="D43" s="268"/>
    </row>
    <row r="45" spans="1:10" x14ac:dyDescent="0.25">
      <c r="B45" s="203" t="s">
        <v>172</v>
      </c>
      <c r="D45" s="266"/>
    </row>
    <row r="46" spans="1:10" x14ac:dyDescent="0.25">
      <c r="B46" s="210"/>
      <c r="C46" s="210"/>
      <c r="D46" s="266"/>
    </row>
    <row r="47" spans="1:10" x14ac:dyDescent="0.25">
      <c r="D47" s="266"/>
    </row>
    <row r="48" spans="1:10" ht="12.75" customHeight="1" x14ac:dyDescent="0.25">
      <c r="B48" s="772" t="s">
        <v>35</v>
      </c>
      <c r="C48" s="773" t="s">
        <v>10</v>
      </c>
      <c r="D48" s="774"/>
      <c r="E48" s="774"/>
      <c r="F48" s="774"/>
      <c r="G48" s="775"/>
    </row>
    <row r="49" spans="2:7" x14ac:dyDescent="0.25">
      <c r="B49" s="772"/>
      <c r="C49" s="257">
        <v>1</v>
      </c>
      <c r="D49" s="257">
        <v>2</v>
      </c>
      <c r="E49" s="257">
        <v>3</v>
      </c>
      <c r="F49" s="257">
        <v>4</v>
      </c>
      <c r="G49" s="257">
        <v>5</v>
      </c>
    </row>
    <row r="50" spans="2:7" x14ac:dyDescent="0.25">
      <c r="B50" s="217" t="s">
        <v>57</v>
      </c>
      <c r="C50" s="259">
        <f>B6</f>
        <v>683760</v>
      </c>
      <c r="D50" s="259">
        <f>C50+C6</f>
        <v>1449571.2000000002</v>
      </c>
      <c r="E50" s="259">
        <f>D50+D6</f>
        <v>2307279.7440000004</v>
      </c>
      <c r="F50" s="259">
        <f>E50+E6</f>
        <v>3267913.3132800008</v>
      </c>
      <c r="G50" s="259">
        <f>F50+F6</f>
        <v>4343822.9108736012</v>
      </c>
    </row>
    <row r="51" spans="2:7" x14ac:dyDescent="0.25">
      <c r="B51" s="269" t="s">
        <v>164</v>
      </c>
      <c r="C51" s="258">
        <f>B23+B34</f>
        <v>682276.28040603106</v>
      </c>
      <c r="D51" s="259">
        <f>C51+C34</f>
        <v>1166996.7621803954</v>
      </c>
      <c r="E51" s="259">
        <f>D51+D34</f>
        <v>1668934.1189547598</v>
      </c>
      <c r="F51" s="259">
        <f>E51+E34</f>
        <v>2189790.3507291242</v>
      </c>
      <c r="G51" s="259">
        <f>F51+F34</f>
        <v>2731436.6731284885</v>
      </c>
    </row>
    <row r="52" spans="2:7" x14ac:dyDescent="0.25">
      <c r="B52" s="217" t="s">
        <v>173</v>
      </c>
      <c r="C52" s="259">
        <f>+B27</f>
        <v>21614.231774364409</v>
      </c>
      <c r="D52" s="259">
        <f>+C27</f>
        <v>21614.231774364409</v>
      </c>
      <c r="E52" s="259">
        <f>+D27</f>
        <v>21614.231774364409</v>
      </c>
      <c r="F52" s="259">
        <f>+E27</f>
        <v>21614.231774364409</v>
      </c>
      <c r="G52" s="259">
        <f>+F27</f>
        <v>21614.231774364409</v>
      </c>
    </row>
  </sheetData>
  <mergeCells count="10">
    <mergeCell ref="A25:A26"/>
    <mergeCell ref="B25:F25"/>
    <mergeCell ref="B48:B49"/>
    <mergeCell ref="C48:G48"/>
    <mergeCell ref="A2:F2"/>
    <mergeCell ref="H2:M2"/>
    <mergeCell ref="A3:A4"/>
    <mergeCell ref="B3:F3"/>
    <mergeCell ref="H3:H4"/>
    <mergeCell ref="I3:M3"/>
  </mergeCells>
  <pageMargins left="0.75" right="0.75" top="1" bottom="1" header="0" footer="0"/>
  <pageSetup paperSize="9" scale="3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topLeftCell="A10" zoomScale="96" zoomScaleNormal="96" zoomScaleSheetLayoutView="100" workbookViewId="0">
      <selection activeCell="K9" sqref="K9"/>
    </sheetView>
  </sheetViews>
  <sheetFormatPr baseColWidth="10" defaultRowHeight="11.25" x14ac:dyDescent="0.25"/>
  <cols>
    <col min="1" max="1" width="3.85546875" style="306" customWidth="1"/>
    <col min="2" max="2" width="38.140625" style="306" customWidth="1"/>
    <col min="3" max="3" width="14.140625" style="306" bestFit="1" customWidth="1"/>
    <col min="4" max="6" width="14.42578125" style="306" bestFit="1" customWidth="1"/>
    <col min="7" max="7" width="14.85546875" style="306" customWidth="1"/>
    <col min="8" max="8" width="22.85546875" style="306" customWidth="1"/>
    <col min="9" max="256" width="11.42578125" style="306"/>
    <col min="257" max="257" width="3.85546875" style="306" customWidth="1"/>
    <col min="258" max="258" width="38.140625" style="306" customWidth="1"/>
    <col min="259" max="259" width="16.42578125" style="306" customWidth="1"/>
    <col min="260" max="262" width="13" style="306" customWidth="1"/>
    <col min="263" max="263" width="14.85546875" style="306" customWidth="1"/>
    <col min="264" max="264" width="22.85546875" style="306" customWidth="1"/>
    <col min="265" max="512" width="11.42578125" style="306"/>
    <col min="513" max="513" width="3.85546875" style="306" customWidth="1"/>
    <col min="514" max="514" width="38.140625" style="306" customWidth="1"/>
    <col min="515" max="515" width="16.42578125" style="306" customWidth="1"/>
    <col min="516" max="518" width="13" style="306" customWidth="1"/>
    <col min="519" max="519" width="14.85546875" style="306" customWidth="1"/>
    <col min="520" max="520" width="22.85546875" style="306" customWidth="1"/>
    <col min="521" max="768" width="11.42578125" style="306"/>
    <col min="769" max="769" width="3.85546875" style="306" customWidth="1"/>
    <col min="770" max="770" width="38.140625" style="306" customWidth="1"/>
    <col min="771" max="771" width="16.42578125" style="306" customWidth="1"/>
    <col min="772" max="774" width="13" style="306" customWidth="1"/>
    <col min="775" max="775" width="14.85546875" style="306" customWidth="1"/>
    <col min="776" max="776" width="22.85546875" style="306" customWidth="1"/>
    <col min="777" max="1024" width="11.42578125" style="306"/>
    <col min="1025" max="1025" width="3.85546875" style="306" customWidth="1"/>
    <col min="1026" max="1026" width="38.140625" style="306" customWidth="1"/>
    <col min="1027" max="1027" width="16.42578125" style="306" customWidth="1"/>
    <col min="1028" max="1030" width="13" style="306" customWidth="1"/>
    <col min="1031" max="1031" width="14.85546875" style="306" customWidth="1"/>
    <col min="1032" max="1032" width="22.85546875" style="306" customWidth="1"/>
    <col min="1033" max="1280" width="11.42578125" style="306"/>
    <col min="1281" max="1281" width="3.85546875" style="306" customWidth="1"/>
    <col min="1282" max="1282" width="38.140625" style="306" customWidth="1"/>
    <col min="1283" max="1283" width="16.42578125" style="306" customWidth="1"/>
    <col min="1284" max="1286" width="13" style="306" customWidth="1"/>
    <col min="1287" max="1287" width="14.85546875" style="306" customWidth="1"/>
    <col min="1288" max="1288" width="22.85546875" style="306" customWidth="1"/>
    <col min="1289" max="1536" width="11.42578125" style="306"/>
    <col min="1537" max="1537" width="3.85546875" style="306" customWidth="1"/>
    <col min="1538" max="1538" width="38.140625" style="306" customWidth="1"/>
    <col min="1539" max="1539" width="16.42578125" style="306" customWidth="1"/>
    <col min="1540" max="1542" width="13" style="306" customWidth="1"/>
    <col min="1543" max="1543" width="14.85546875" style="306" customWidth="1"/>
    <col min="1544" max="1544" width="22.85546875" style="306" customWidth="1"/>
    <col min="1545" max="1792" width="11.42578125" style="306"/>
    <col min="1793" max="1793" width="3.85546875" style="306" customWidth="1"/>
    <col min="1794" max="1794" width="38.140625" style="306" customWidth="1"/>
    <col min="1795" max="1795" width="16.42578125" style="306" customWidth="1"/>
    <col min="1796" max="1798" width="13" style="306" customWidth="1"/>
    <col min="1799" max="1799" width="14.85546875" style="306" customWidth="1"/>
    <col min="1800" max="1800" width="22.85546875" style="306" customWidth="1"/>
    <col min="1801" max="2048" width="11.42578125" style="306"/>
    <col min="2049" max="2049" width="3.85546875" style="306" customWidth="1"/>
    <col min="2050" max="2050" width="38.140625" style="306" customWidth="1"/>
    <col min="2051" max="2051" width="16.42578125" style="306" customWidth="1"/>
    <col min="2052" max="2054" width="13" style="306" customWidth="1"/>
    <col min="2055" max="2055" width="14.85546875" style="306" customWidth="1"/>
    <col min="2056" max="2056" width="22.85546875" style="306" customWidth="1"/>
    <col min="2057" max="2304" width="11.42578125" style="306"/>
    <col min="2305" max="2305" width="3.85546875" style="306" customWidth="1"/>
    <col min="2306" max="2306" width="38.140625" style="306" customWidth="1"/>
    <col min="2307" max="2307" width="16.42578125" style="306" customWidth="1"/>
    <col min="2308" max="2310" width="13" style="306" customWidth="1"/>
    <col min="2311" max="2311" width="14.85546875" style="306" customWidth="1"/>
    <col min="2312" max="2312" width="22.85546875" style="306" customWidth="1"/>
    <col min="2313" max="2560" width="11.42578125" style="306"/>
    <col min="2561" max="2561" width="3.85546875" style="306" customWidth="1"/>
    <col min="2562" max="2562" width="38.140625" style="306" customWidth="1"/>
    <col min="2563" max="2563" width="16.42578125" style="306" customWidth="1"/>
    <col min="2564" max="2566" width="13" style="306" customWidth="1"/>
    <col min="2567" max="2567" width="14.85546875" style="306" customWidth="1"/>
    <col min="2568" max="2568" width="22.85546875" style="306" customWidth="1"/>
    <col min="2569" max="2816" width="11.42578125" style="306"/>
    <col min="2817" max="2817" width="3.85546875" style="306" customWidth="1"/>
    <col min="2818" max="2818" width="38.140625" style="306" customWidth="1"/>
    <col min="2819" max="2819" width="16.42578125" style="306" customWidth="1"/>
    <col min="2820" max="2822" width="13" style="306" customWidth="1"/>
    <col min="2823" max="2823" width="14.85546875" style="306" customWidth="1"/>
    <col min="2824" max="2824" width="22.85546875" style="306" customWidth="1"/>
    <col min="2825" max="3072" width="11.42578125" style="306"/>
    <col min="3073" max="3073" width="3.85546875" style="306" customWidth="1"/>
    <col min="3074" max="3074" width="38.140625" style="306" customWidth="1"/>
    <col min="3075" max="3075" width="16.42578125" style="306" customWidth="1"/>
    <col min="3076" max="3078" width="13" style="306" customWidth="1"/>
    <col min="3079" max="3079" width="14.85546875" style="306" customWidth="1"/>
    <col min="3080" max="3080" width="22.85546875" style="306" customWidth="1"/>
    <col min="3081" max="3328" width="11.42578125" style="306"/>
    <col min="3329" max="3329" width="3.85546875" style="306" customWidth="1"/>
    <col min="3330" max="3330" width="38.140625" style="306" customWidth="1"/>
    <col min="3331" max="3331" width="16.42578125" style="306" customWidth="1"/>
    <col min="3332" max="3334" width="13" style="306" customWidth="1"/>
    <col min="3335" max="3335" width="14.85546875" style="306" customWidth="1"/>
    <col min="3336" max="3336" width="22.85546875" style="306" customWidth="1"/>
    <col min="3337" max="3584" width="11.42578125" style="306"/>
    <col min="3585" max="3585" width="3.85546875" style="306" customWidth="1"/>
    <col min="3586" max="3586" width="38.140625" style="306" customWidth="1"/>
    <col min="3587" max="3587" width="16.42578125" style="306" customWidth="1"/>
    <col min="3588" max="3590" width="13" style="306" customWidth="1"/>
    <col min="3591" max="3591" width="14.85546875" style="306" customWidth="1"/>
    <col min="3592" max="3592" width="22.85546875" style="306" customWidth="1"/>
    <col min="3593" max="3840" width="11.42578125" style="306"/>
    <col min="3841" max="3841" width="3.85546875" style="306" customWidth="1"/>
    <col min="3842" max="3842" width="38.140625" style="306" customWidth="1"/>
    <col min="3843" max="3843" width="16.42578125" style="306" customWidth="1"/>
    <col min="3844" max="3846" width="13" style="306" customWidth="1"/>
    <col min="3847" max="3847" width="14.85546875" style="306" customWidth="1"/>
    <col min="3848" max="3848" width="22.85546875" style="306" customWidth="1"/>
    <col min="3849" max="4096" width="11.42578125" style="306"/>
    <col min="4097" max="4097" width="3.85546875" style="306" customWidth="1"/>
    <col min="4098" max="4098" width="38.140625" style="306" customWidth="1"/>
    <col min="4099" max="4099" width="16.42578125" style="306" customWidth="1"/>
    <col min="4100" max="4102" width="13" style="306" customWidth="1"/>
    <col min="4103" max="4103" width="14.85546875" style="306" customWidth="1"/>
    <col min="4104" max="4104" width="22.85546875" style="306" customWidth="1"/>
    <col min="4105" max="4352" width="11.42578125" style="306"/>
    <col min="4353" max="4353" width="3.85546875" style="306" customWidth="1"/>
    <col min="4354" max="4354" width="38.140625" style="306" customWidth="1"/>
    <col min="4355" max="4355" width="16.42578125" style="306" customWidth="1"/>
    <col min="4356" max="4358" width="13" style="306" customWidth="1"/>
    <col min="4359" max="4359" width="14.85546875" style="306" customWidth="1"/>
    <col min="4360" max="4360" width="22.85546875" style="306" customWidth="1"/>
    <col min="4361" max="4608" width="11.42578125" style="306"/>
    <col min="4609" max="4609" width="3.85546875" style="306" customWidth="1"/>
    <col min="4610" max="4610" width="38.140625" style="306" customWidth="1"/>
    <col min="4611" max="4611" width="16.42578125" style="306" customWidth="1"/>
    <col min="4612" max="4614" width="13" style="306" customWidth="1"/>
    <col min="4615" max="4615" width="14.85546875" style="306" customWidth="1"/>
    <col min="4616" max="4616" width="22.85546875" style="306" customWidth="1"/>
    <col min="4617" max="4864" width="11.42578125" style="306"/>
    <col min="4865" max="4865" width="3.85546875" style="306" customWidth="1"/>
    <col min="4866" max="4866" width="38.140625" style="306" customWidth="1"/>
    <col min="4867" max="4867" width="16.42578125" style="306" customWidth="1"/>
    <col min="4868" max="4870" width="13" style="306" customWidth="1"/>
    <col min="4871" max="4871" width="14.85546875" style="306" customWidth="1"/>
    <col min="4872" max="4872" width="22.85546875" style="306" customWidth="1"/>
    <col min="4873" max="5120" width="11.42578125" style="306"/>
    <col min="5121" max="5121" width="3.85546875" style="306" customWidth="1"/>
    <col min="5122" max="5122" width="38.140625" style="306" customWidth="1"/>
    <col min="5123" max="5123" width="16.42578125" style="306" customWidth="1"/>
    <col min="5124" max="5126" width="13" style="306" customWidth="1"/>
    <col min="5127" max="5127" width="14.85546875" style="306" customWidth="1"/>
    <col min="5128" max="5128" width="22.85546875" style="306" customWidth="1"/>
    <col min="5129" max="5376" width="11.42578125" style="306"/>
    <col min="5377" max="5377" width="3.85546875" style="306" customWidth="1"/>
    <col min="5378" max="5378" width="38.140625" style="306" customWidth="1"/>
    <col min="5379" max="5379" width="16.42578125" style="306" customWidth="1"/>
    <col min="5380" max="5382" width="13" style="306" customWidth="1"/>
    <col min="5383" max="5383" width="14.85546875" style="306" customWidth="1"/>
    <col min="5384" max="5384" width="22.85546875" style="306" customWidth="1"/>
    <col min="5385" max="5632" width="11.42578125" style="306"/>
    <col min="5633" max="5633" width="3.85546875" style="306" customWidth="1"/>
    <col min="5634" max="5634" width="38.140625" style="306" customWidth="1"/>
    <col min="5635" max="5635" width="16.42578125" style="306" customWidth="1"/>
    <col min="5636" max="5638" width="13" style="306" customWidth="1"/>
    <col min="5639" max="5639" width="14.85546875" style="306" customWidth="1"/>
    <col min="5640" max="5640" width="22.85546875" style="306" customWidth="1"/>
    <col min="5641" max="5888" width="11.42578125" style="306"/>
    <col min="5889" max="5889" width="3.85546875" style="306" customWidth="1"/>
    <col min="5890" max="5890" width="38.140625" style="306" customWidth="1"/>
    <col min="5891" max="5891" width="16.42578125" style="306" customWidth="1"/>
    <col min="5892" max="5894" width="13" style="306" customWidth="1"/>
    <col min="5895" max="5895" width="14.85546875" style="306" customWidth="1"/>
    <col min="5896" max="5896" width="22.85546875" style="306" customWidth="1"/>
    <col min="5897" max="6144" width="11.42578125" style="306"/>
    <col min="6145" max="6145" width="3.85546875" style="306" customWidth="1"/>
    <col min="6146" max="6146" width="38.140625" style="306" customWidth="1"/>
    <col min="6147" max="6147" width="16.42578125" style="306" customWidth="1"/>
    <col min="6148" max="6150" width="13" style="306" customWidth="1"/>
    <col min="6151" max="6151" width="14.85546875" style="306" customWidth="1"/>
    <col min="6152" max="6152" width="22.85546875" style="306" customWidth="1"/>
    <col min="6153" max="6400" width="11.42578125" style="306"/>
    <col min="6401" max="6401" width="3.85546875" style="306" customWidth="1"/>
    <col min="6402" max="6402" width="38.140625" style="306" customWidth="1"/>
    <col min="6403" max="6403" width="16.42578125" style="306" customWidth="1"/>
    <col min="6404" max="6406" width="13" style="306" customWidth="1"/>
    <col min="6407" max="6407" width="14.85546875" style="306" customWidth="1"/>
    <col min="6408" max="6408" width="22.85546875" style="306" customWidth="1"/>
    <col min="6409" max="6656" width="11.42578125" style="306"/>
    <col min="6657" max="6657" width="3.85546875" style="306" customWidth="1"/>
    <col min="6658" max="6658" width="38.140625" style="306" customWidth="1"/>
    <col min="6659" max="6659" width="16.42578125" style="306" customWidth="1"/>
    <col min="6660" max="6662" width="13" style="306" customWidth="1"/>
    <col min="6663" max="6663" width="14.85546875" style="306" customWidth="1"/>
    <col min="6664" max="6664" width="22.85546875" style="306" customWidth="1"/>
    <col min="6665" max="6912" width="11.42578125" style="306"/>
    <col min="6913" max="6913" width="3.85546875" style="306" customWidth="1"/>
    <col min="6914" max="6914" width="38.140625" style="306" customWidth="1"/>
    <col min="6915" max="6915" width="16.42578125" style="306" customWidth="1"/>
    <col min="6916" max="6918" width="13" style="306" customWidth="1"/>
    <col min="6919" max="6919" width="14.85546875" style="306" customWidth="1"/>
    <col min="6920" max="6920" width="22.85546875" style="306" customWidth="1"/>
    <col min="6921" max="7168" width="11.42578125" style="306"/>
    <col min="7169" max="7169" width="3.85546875" style="306" customWidth="1"/>
    <col min="7170" max="7170" width="38.140625" style="306" customWidth="1"/>
    <col min="7171" max="7171" width="16.42578125" style="306" customWidth="1"/>
    <col min="7172" max="7174" width="13" style="306" customWidth="1"/>
    <col min="7175" max="7175" width="14.85546875" style="306" customWidth="1"/>
    <col min="7176" max="7176" width="22.85546875" style="306" customWidth="1"/>
    <col min="7177" max="7424" width="11.42578125" style="306"/>
    <col min="7425" max="7425" width="3.85546875" style="306" customWidth="1"/>
    <col min="7426" max="7426" width="38.140625" style="306" customWidth="1"/>
    <col min="7427" max="7427" width="16.42578125" style="306" customWidth="1"/>
    <col min="7428" max="7430" width="13" style="306" customWidth="1"/>
    <col min="7431" max="7431" width="14.85546875" style="306" customWidth="1"/>
    <col min="7432" max="7432" width="22.85546875" style="306" customWidth="1"/>
    <col min="7433" max="7680" width="11.42578125" style="306"/>
    <col min="7681" max="7681" width="3.85546875" style="306" customWidth="1"/>
    <col min="7682" max="7682" width="38.140625" style="306" customWidth="1"/>
    <col min="7683" max="7683" width="16.42578125" style="306" customWidth="1"/>
    <col min="7684" max="7686" width="13" style="306" customWidth="1"/>
    <col min="7687" max="7687" width="14.85546875" style="306" customWidth="1"/>
    <col min="7688" max="7688" width="22.85546875" style="306" customWidth="1"/>
    <col min="7689" max="7936" width="11.42578125" style="306"/>
    <col min="7937" max="7937" width="3.85546875" style="306" customWidth="1"/>
    <col min="7938" max="7938" width="38.140625" style="306" customWidth="1"/>
    <col min="7939" max="7939" width="16.42578125" style="306" customWidth="1"/>
    <col min="7940" max="7942" width="13" style="306" customWidth="1"/>
    <col min="7943" max="7943" width="14.85546875" style="306" customWidth="1"/>
    <col min="7944" max="7944" width="22.85546875" style="306" customWidth="1"/>
    <col min="7945" max="8192" width="11.42578125" style="306"/>
    <col min="8193" max="8193" width="3.85546875" style="306" customWidth="1"/>
    <col min="8194" max="8194" width="38.140625" style="306" customWidth="1"/>
    <col min="8195" max="8195" width="16.42578125" style="306" customWidth="1"/>
    <col min="8196" max="8198" width="13" style="306" customWidth="1"/>
    <col min="8199" max="8199" width="14.85546875" style="306" customWidth="1"/>
    <col min="8200" max="8200" width="22.85546875" style="306" customWidth="1"/>
    <col min="8201" max="8448" width="11.42578125" style="306"/>
    <col min="8449" max="8449" width="3.85546875" style="306" customWidth="1"/>
    <col min="8450" max="8450" width="38.140625" style="306" customWidth="1"/>
    <col min="8451" max="8451" width="16.42578125" style="306" customWidth="1"/>
    <col min="8452" max="8454" width="13" style="306" customWidth="1"/>
    <col min="8455" max="8455" width="14.85546875" style="306" customWidth="1"/>
    <col min="8456" max="8456" width="22.85546875" style="306" customWidth="1"/>
    <col min="8457" max="8704" width="11.42578125" style="306"/>
    <col min="8705" max="8705" width="3.85546875" style="306" customWidth="1"/>
    <col min="8706" max="8706" width="38.140625" style="306" customWidth="1"/>
    <col min="8707" max="8707" width="16.42578125" style="306" customWidth="1"/>
    <col min="8708" max="8710" width="13" style="306" customWidth="1"/>
    <col min="8711" max="8711" width="14.85546875" style="306" customWidth="1"/>
    <col min="8712" max="8712" width="22.85546875" style="306" customWidth="1"/>
    <col min="8713" max="8960" width="11.42578125" style="306"/>
    <col min="8961" max="8961" width="3.85546875" style="306" customWidth="1"/>
    <col min="8962" max="8962" width="38.140625" style="306" customWidth="1"/>
    <col min="8963" max="8963" width="16.42578125" style="306" customWidth="1"/>
    <col min="8964" max="8966" width="13" style="306" customWidth="1"/>
    <col min="8967" max="8967" width="14.85546875" style="306" customWidth="1"/>
    <col min="8968" max="8968" width="22.85546875" style="306" customWidth="1"/>
    <col min="8969" max="9216" width="11.42578125" style="306"/>
    <col min="9217" max="9217" width="3.85546875" style="306" customWidth="1"/>
    <col min="9218" max="9218" width="38.140625" style="306" customWidth="1"/>
    <col min="9219" max="9219" width="16.42578125" style="306" customWidth="1"/>
    <col min="9220" max="9222" width="13" style="306" customWidth="1"/>
    <col min="9223" max="9223" width="14.85546875" style="306" customWidth="1"/>
    <col min="9224" max="9224" width="22.85546875" style="306" customWidth="1"/>
    <col min="9225" max="9472" width="11.42578125" style="306"/>
    <col min="9473" max="9473" width="3.85546875" style="306" customWidth="1"/>
    <col min="9474" max="9474" width="38.140625" style="306" customWidth="1"/>
    <col min="9475" max="9475" width="16.42578125" style="306" customWidth="1"/>
    <col min="9476" max="9478" width="13" style="306" customWidth="1"/>
    <col min="9479" max="9479" width="14.85546875" style="306" customWidth="1"/>
    <col min="9480" max="9480" width="22.85546875" style="306" customWidth="1"/>
    <col min="9481" max="9728" width="11.42578125" style="306"/>
    <col min="9729" max="9729" width="3.85546875" style="306" customWidth="1"/>
    <col min="9730" max="9730" width="38.140625" style="306" customWidth="1"/>
    <col min="9731" max="9731" width="16.42578125" style="306" customWidth="1"/>
    <col min="9732" max="9734" width="13" style="306" customWidth="1"/>
    <col min="9735" max="9735" width="14.85546875" style="306" customWidth="1"/>
    <col min="9736" max="9736" width="22.85546875" style="306" customWidth="1"/>
    <col min="9737" max="9984" width="11.42578125" style="306"/>
    <col min="9985" max="9985" width="3.85546875" style="306" customWidth="1"/>
    <col min="9986" max="9986" width="38.140625" style="306" customWidth="1"/>
    <col min="9987" max="9987" width="16.42578125" style="306" customWidth="1"/>
    <col min="9988" max="9990" width="13" style="306" customWidth="1"/>
    <col min="9991" max="9991" width="14.85546875" style="306" customWidth="1"/>
    <col min="9992" max="9992" width="22.85546875" style="306" customWidth="1"/>
    <col min="9993" max="10240" width="11.42578125" style="306"/>
    <col min="10241" max="10241" width="3.85546875" style="306" customWidth="1"/>
    <col min="10242" max="10242" width="38.140625" style="306" customWidth="1"/>
    <col min="10243" max="10243" width="16.42578125" style="306" customWidth="1"/>
    <col min="10244" max="10246" width="13" style="306" customWidth="1"/>
    <col min="10247" max="10247" width="14.85546875" style="306" customWidth="1"/>
    <col min="10248" max="10248" width="22.85546875" style="306" customWidth="1"/>
    <col min="10249" max="10496" width="11.42578125" style="306"/>
    <col min="10497" max="10497" width="3.85546875" style="306" customWidth="1"/>
    <col min="10498" max="10498" width="38.140625" style="306" customWidth="1"/>
    <col min="10499" max="10499" width="16.42578125" style="306" customWidth="1"/>
    <col min="10500" max="10502" width="13" style="306" customWidth="1"/>
    <col min="10503" max="10503" width="14.85546875" style="306" customWidth="1"/>
    <col min="10504" max="10504" width="22.85546875" style="306" customWidth="1"/>
    <col min="10505" max="10752" width="11.42578125" style="306"/>
    <col min="10753" max="10753" width="3.85546875" style="306" customWidth="1"/>
    <col min="10754" max="10754" width="38.140625" style="306" customWidth="1"/>
    <col min="10755" max="10755" width="16.42578125" style="306" customWidth="1"/>
    <col min="10756" max="10758" width="13" style="306" customWidth="1"/>
    <col min="10759" max="10759" width="14.85546875" style="306" customWidth="1"/>
    <col min="10760" max="10760" width="22.85546875" style="306" customWidth="1"/>
    <col min="10761" max="11008" width="11.42578125" style="306"/>
    <col min="11009" max="11009" width="3.85546875" style="306" customWidth="1"/>
    <col min="11010" max="11010" width="38.140625" style="306" customWidth="1"/>
    <col min="11011" max="11011" width="16.42578125" style="306" customWidth="1"/>
    <col min="11012" max="11014" width="13" style="306" customWidth="1"/>
    <col min="11015" max="11015" width="14.85546875" style="306" customWidth="1"/>
    <col min="11016" max="11016" width="22.85546875" style="306" customWidth="1"/>
    <col min="11017" max="11264" width="11.42578125" style="306"/>
    <col min="11265" max="11265" width="3.85546875" style="306" customWidth="1"/>
    <col min="11266" max="11266" width="38.140625" style="306" customWidth="1"/>
    <col min="11267" max="11267" width="16.42578125" style="306" customWidth="1"/>
    <col min="11268" max="11270" width="13" style="306" customWidth="1"/>
    <col min="11271" max="11271" width="14.85546875" style="306" customWidth="1"/>
    <col min="11272" max="11272" width="22.85546875" style="306" customWidth="1"/>
    <col min="11273" max="11520" width="11.42578125" style="306"/>
    <col min="11521" max="11521" width="3.85546875" style="306" customWidth="1"/>
    <col min="11522" max="11522" width="38.140625" style="306" customWidth="1"/>
    <col min="11523" max="11523" width="16.42578125" style="306" customWidth="1"/>
    <col min="11524" max="11526" width="13" style="306" customWidth="1"/>
    <col min="11527" max="11527" width="14.85546875" style="306" customWidth="1"/>
    <col min="11528" max="11528" width="22.85546875" style="306" customWidth="1"/>
    <col min="11529" max="11776" width="11.42578125" style="306"/>
    <col min="11777" max="11777" width="3.85546875" style="306" customWidth="1"/>
    <col min="11778" max="11778" width="38.140625" style="306" customWidth="1"/>
    <col min="11779" max="11779" width="16.42578125" style="306" customWidth="1"/>
    <col min="11780" max="11782" width="13" style="306" customWidth="1"/>
    <col min="11783" max="11783" width="14.85546875" style="306" customWidth="1"/>
    <col min="11784" max="11784" width="22.85546875" style="306" customWidth="1"/>
    <col min="11785" max="12032" width="11.42578125" style="306"/>
    <col min="12033" max="12033" width="3.85546875" style="306" customWidth="1"/>
    <col min="12034" max="12034" width="38.140625" style="306" customWidth="1"/>
    <col min="12035" max="12035" width="16.42578125" style="306" customWidth="1"/>
    <col min="12036" max="12038" width="13" style="306" customWidth="1"/>
    <col min="12039" max="12039" width="14.85546875" style="306" customWidth="1"/>
    <col min="12040" max="12040" width="22.85546875" style="306" customWidth="1"/>
    <col min="12041" max="12288" width="11.42578125" style="306"/>
    <col min="12289" max="12289" width="3.85546875" style="306" customWidth="1"/>
    <col min="12290" max="12290" width="38.140625" style="306" customWidth="1"/>
    <col min="12291" max="12291" width="16.42578125" style="306" customWidth="1"/>
    <col min="12292" max="12294" width="13" style="306" customWidth="1"/>
    <col min="12295" max="12295" width="14.85546875" style="306" customWidth="1"/>
    <col min="12296" max="12296" width="22.85546875" style="306" customWidth="1"/>
    <col min="12297" max="12544" width="11.42578125" style="306"/>
    <col min="12545" max="12545" width="3.85546875" style="306" customWidth="1"/>
    <col min="12546" max="12546" width="38.140625" style="306" customWidth="1"/>
    <col min="12547" max="12547" width="16.42578125" style="306" customWidth="1"/>
    <col min="12548" max="12550" width="13" style="306" customWidth="1"/>
    <col min="12551" max="12551" width="14.85546875" style="306" customWidth="1"/>
    <col min="12552" max="12552" width="22.85546875" style="306" customWidth="1"/>
    <col min="12553" max="12800" width="11.42578125" style="306"/>
    <col min="12801" max="12801" width="3.85546875" style="306" customWidth="1"/>
    <col min="12802" max="12802" width="38.140625" style="306" customWidth="1"/>
    <col min="12803" max="12803" width="16.42578125" style="306" customWidth="1"/>
    <col min="12804" max="12806" width="13" style="306" customWidth="1"/>
    <col min="12807" max="12807" width="14.85546875" style="306" customWidth="1"/>
    <col min="12808" max="12808" width="22.85546875" style="306" customWidth="1"/>
    <col min="12809" max="13056" width="11.42578125" style="306"/>
    <col min="13057" max="13057" width="3.85546875" style="306" customWidth="1"/>
    <col min="13058" max="13058" width="38.140625" style="306" customWidth="1"/>
    <col min="13059" max="13059" width="16.42578125" style="306" customWidth="1"/>
    <col min="13060" max="13062" width="13" style="306" customWidth="1"/>
    <col min="13063" max="13063" width="14.85546875" style="306" customWidth="1"/>
    <col min="13064" max="13064" width="22.85546875" style="306" customWidth="1"/>
    <col min="13065" max="13312" width="11.42578125" style="306"/>
    <col min="13313" max="13313" width="3.85546875" style="306" customWidth="1"/>
    <col min="13314" max="13314" width="38.140625" style="306" customWidth="1"/>
    <col min="13315" max="13315" width="16.42578125" style="306" customWidth="1"/>
    <col min="13316" max="13318" width="13" style="306" customWidth="1"/>
    <col min="13319" max="13319" width="14.85546875" style="306" customWidth="1"/>
    <col min="13320" max="13320" width="22.85546875" style="306" customWidth="1"/>
    <col min="13321" max="13568" width="11.42578125" style="306"/>
    <col min="13569" max="13569" width="3.85546875" style="306" customWidth="1"/>
    <col min="13570" max="13570" width="38.140625" style="306" customWidth="1"/>
    <col min="13571" max="13571" width="16.42578125" style="306" customWidth="1"/>
    <col min="13572" max="13574" width="13" style="306" customWidth="1"/>
    <col min="13575" max="13575" width="14.85546875" style="306" customWidth="1"/>
    <col min="13576" max="13576" width="22.85546875" style="306" customWidth="1"/>
    <col min="13577" max="13824" width="11.42578125" style="306"/>
    <col min="13825" max="13825" width="3.85546875" style="306" customWidth="1"/>
    <col min="13826" max="13826" width="38.140625" style="306" customWidth="1"/>
    <col min="13827" max="13827" width="16.42578125" style="306" customWidth="1"/>
    <col min="13828" max="13830" width="13" style="306" customWidth="1"/>
    <col min="13831" max="13831" width="14.85546875" style="306" customWidth="1"/>
    <col min="13832" max="13832" width="22.85546875" style="306" customWidth="1"/>
    <col min="13833" max="14080" width="11.42578125" style="306"/>
    <col min="14081" max="14081" width="3.85546875" style="306" customWidth="1"/>
    <col min="14082" max="14082" width="38.140625" style="306" customWidth="1"/>
    <col min="14083" max="14083" width="16.42578125" style="306" customWidth="1"/>
    <col min="14084" max="14086" width="13" style="306" customWidth="1"/>
    <col min="14087" max="14087" width="14.85546875" style="306" customWidth="1"/>
    <col min="14088" max="14088" width="22.85546875" style="306" customWidth="1"/>
    <col min="14089" max="14336" width="11.42578125" style="306"/>
    <col min="14337" max="14337" width="3.85546875" style="306" customWidth="1"/>
    <col min="14338" max="14338" width="38.140625" style="306" customWidth="1"/>
    <col min="14339" max="14339" width="16.42578125" style="306" customWidth="1"/>
    <col min="14340" max="14342" width="13" style="306" customWidth="1"/>
    <col min="14343" max="14343" width="14.85546875" style="306" customWidth="1"/>
    <col min="14344" max="14344" width="22.85546875" style="306" customWidth="1"/>
    <col min="14345" max="14592" width="11.42578125" style="306"/>
    <col min="14593" max="14593" width="3.85546875" style="306" customWidth="1"/>
    <col min="14594" max="14594" width="38.140625" style="306" customWidth="1"/>
    <col min="14595" max="14595" width="16.42578125" style="306" customWidth="1"/>
    <col min="14596" max="14598" width="13" style="306" customWidth="1"/>
    <col min="14599" max="14599" width="14.85546875" style="306" customWidth="1"/>
    <col min="14600" max="14600" width="22.85546875" style="306" customWidth="1"/>
    <col min="14601" max="14848" width="11.42578125" style="306"/>
    <col min="14849" max="14849" width="3.85546875" style="306" customWidth="1"/>
    <col min="14850" max="14850" width="38.140625" style="306" customWidth="1"/>
    <col min="14851" max="14851" width="16.42578125" style="306" customWidth="1"/>
    <col min="14852" max="14854" width="13" style="306" customWidth="1"/>
    <col min="14855" max="14855" width="14.85546875" style="306" customWidth="1"/>
    <col min="14856" max="14856" width="22.85546875" style="306" customWidth="1"/>
    <col min="14857" max="15104" width="11.42578125" style="306"/>
    <col min="15105" max="15105" width="3.85546875" style="306" customWidth="1"/>
    <col min="15106" max="15106" width="38.140625" style="306" customWidth="1"/>
    <col min="15107" max="15107" width="16.42578125" style="306" customWidth="1"/>
    <col min="15108" max="15110" width="13" style="306" customWidth="1"/>
    <col min="15111" max="15111" width="14.85546875" style="306" customWidth="1"/>
    <col min="15112" max="15112" width="22.85546875" style="306" customWidth="1"/>
    <col min="15113" max="15360" width="11.42578125" style="306"/>
    <col min="15361" max="15361" width="3.85546875" style="306" customWidth="1"/>
    <col min="15362" max="15362" width="38.140625" style="306" customWidth="1"/>
    <col min="15363" max="15363" width="16.42578125" style="306" customWidth="1"/>
    <col min="15364" max="15366" width="13" style="306" customWidth="1"/>
    <col min="15367" max="15367" width="14.85546875" style="306" customWidth="1"/>
    <col min="15368" max="15368" width="22.85546875" style="306" customWidth="1"/>
    <col min="15369" max="15616" width="11.42578125" style="306"/>
    <col min="15617" max="15617" width="3.85546875" style="306" customWidth="1"/>
    <col min="15618" max="15618" width="38.140625" style="306" customWidth="1"/>
    <col min="15619" max="15619" width="16.42578125" style="306" customWidth="1"/>
    <col min="15620" max="15622" width="13" style="306" customWidth="1"/>
    <col min="15623" max="15623" width="14.85546875" style="306" customWidth="1"/>
    <col min="15624" max="15624" width="22.85546875" style="306" customWidth="1"/>
    <col min="15625" max="15872" width="11.42578125" style="306"/>
    <col min="15873" max="15873" width="3.85546875" style="306" customWidth="1"/>
    <col min="15874" max="15874" width="38.140625" style="306" customWidth="1"/>
    <col min="15875" max="15875" width="16.42578125" style="306" customWidth="1"/>
    <col min="15876" max="15878" width="13" style="306" customWidth="1"/>
    <col min="15879" max="15879" width="14.85546875" style="306" customWidth="1"/>
    <col min="15880" max="15880" width="22.85546875" style="306" customWidth="1"/>
    <col min="15881" max="16128" width="11.42578125" style="306"/>
    <col min="16129" max="16129" width="3.85546875" style="306" customWidth="1"/>
    <col min="16130" max="16130" width="38.140625" style="306" customWidth="1"/>
    <col min="16131" max="16131" width="16.42578125" style="306" customWidth="1"/>
    <col min="16132" max="16134" width="13" style="306" customWidth="1"/>
    <col min="16135" max="16135" width="14.85546875" style="306" customWidth="1"/>
    <col min="16136" max="16136" width="22.85546875" style="306" customWidth="1"/>
    <col min="16137" max="16384" width="11.42578125" style="306"/>
  </cols>
  <sheetData>
    <row r="1" spans="2:8" ht="12" thickBot="1" x14ac:dyDescent="0.3"/>
    <row r="2" spans="2:8" ht="12" thickBot="1" x14ac:dyDescent="0.3">
      <c r="B2" s="780" t="s">
        <v>213</v>
      </c>
      <c r="C2" s="781"/>
      <c r="D2" s="781"/>
      <c r="E2" s="781"/>
      <c r="F2" s="781"/>
      <c r="G2" s="781"/>
      <c r="H2" s="782"/>
    </row>
    <row r="3" spans="2:8" ht="12" thickBot="1" x14ac:dyDescent="0.3"/>
    <row r="4" spans="2:8" ht="12" thickBot="1" x14ac:dyDescent="0.3">
      <c r="B4" s="783" t="s">
        <v>28</v>
      </c>
      <c r="C4" s="783" t="s">
        <v>1</v>
      </c>
      <c r="D4" s="785"/>
      <c r="E4" s="785"/>
      <c r="F4" s="785"/>
      <c r="G4" s="785"/>
      <c r="H4" s="786"/>
    </row>
    <row r="5" spans="2:8" ht="12" thickBot="1" x14ac:dyDescent="0.3">
      <c r="B5" s="784"/>
      <c r="C5" s="305">
        <v>0</v>
      </c>
      <c r="D5" s="307">
        <v>1</v>
      </c>
      <c r="E5" s="308">
        <v>2</v>
      </c>
      <c r="F5" s="307">
        <v>3</v>
      </c>
      <c r="G5" s="308">
        <v>4</v>
      </c>
      <c r="H5" s="307">
        <v>5</v>
      </c>
    </row>
    <row r="6" spans="2:8" s="310" customFormat="1" ht="12" thickBot="1" x14ac:dyDescent="0.3">
      <c r="B6" s="309" t="s">
        <v>214</v>
      </c>
      <c r="C6" s="539"/>
      <c r="D6" s="539">
        <f>SUM(D7:D9)</f>
        <v>683760</v>
      </c>
      <c r="E6" s="539">
        <f>SUM(E7:E9)</f>
        <v>765811.20000000019</v>
      </c>
      <c r="F6" s="539">
        <f>SUM(F7:F9)</f>
        <v>857708.54400000034</v>
      </c>
      <c r="G6" s="539">
        <f>SUM(G7:G9)</f>
        <v>883439.80032000039</v>
      </c>
      <c r="H6" s="540">
        <f>SUM(H7:H9)</f>
        <v>1288361.953391179</v>
      </c>
    </row>
    <row r="7" spans="2:8" x14ac:dyDescent="0.25">
      <c r="B7" s="311" t="s">
        <v>224</v>
      </c>
      <c r="C7" s="541"/>
      <c r="D7" s="541">
        <f>+'ESTADO GyP'!B6</f>
        <v>683760</v>
      </c>
      <c r="E7" s="541">
        <f>+'ESTADO GyP'!J6</f>
        <v>765811.20000000019</v>
      </c>
      <c r="F7" s="541">
        <f>+'ESTADO GyP'!K6</f>
        <v>857708.54400000034</v>
      </c>
      <c r="G7" s="541">
        <f>+F7*1.03</f>
        <v>883439.80032000039</v>
      </c>
      <c r="H7" s="542">
        <f>+'ESTADO GyP'!F6</f>
        <v>1075909.5975936009</v>
      </c>
    </row>
    <row r="8" spans="2:8" x14ac:dyDescent="0.25">
      <c r="B8" s="312" t="s">
        <v>225</v>
      </c>
      <c r="C8" s="543"/>
      <c r="D8" s="543"/>
      <c r="E8" s="543"/>
      <c r="F8" s="543"/>
      <c r="G8" s="543"/>
      <c r="H8" s="544">
        <f>+'DEPRECIAC '!H11</f>
        <v>136090.71100317797</v>
      </c>
    </row>
    <row r="9" spans="2:8" ht="12" thickBot="1" x14ac:dyDescent="0.3">
      <c r="B9" s="313" t="s">
        <v>226</v>
      </c>
      <c r="C9" s="545"/>
      <c r="D9" s="545"/>
      <c r="E9" s="545"/>
      <c r="F9" s="545"/>
      <c r="G9" s="545"/>
      <c r="H9" s="546">
        <f>+C18-SUM(D18:H18)</f>
        <v>76361.644794400025</v>
      </c>
    </row>
    <row r="10" spans="2:8" ht="6" customHeight="1" thickBot="1" x14ac:dyDescent="0.3">
      <c r="B10" s="312"/>
      <c r="C10" s="543"/>
      <c r="D10" s="543"/>
      <c r="E10" s="543"/>
      <c r="F10" s="543"/>
      <c r="G10" s="543"/>
      <c r="H10" s="544"/>
    </row>
    <row r="11" spans="2:8" s="310" customFormat="1" ht="12" thickBot="1" x14ac:dyDescent="0.3">
      <c r="B11" s="309" t="s">
        <v>215</v>
      </c>
      <c r="C11" s="539">
        <f>-C15</f>
        <v>-213224.54863166666</v>
      </c>
      <c r="D11" s="539">
        <f>SUM(D12:D18)</f>
        <v>-532666.85579322919</v>
      </c>
      <c r="E11" s="539">
        <f t="shared" ref="E11:H11" si="0">SUM(E12:E18)</f>
        <v>-818932.16604322928</v>
      </c>
      <c r="F11" s="539">
        <f t="shared" si="0"/>
        <v>-609468.46789822937</v>
      </c>
      <c r="G11" s="539">
        <f t="shared" si="0"/>
        <v>-654531.49835082935</v>
      </c>
      <c r="H11" s="540">
        <f t="shared" si="0"/>
        <v>-744867.52239430393</v>
      </c>
    </row>
    <row r="12" spans="2:8" x14ac:dyDescent="0.25">
      <c r="B12" s="311" t="s">
        <v>227</v>
      </c>
      <c r="C12" s="541"/>
      <c r="D12" s="541">
        <f>-'ESTADO GyP'!B8</f>
        <v>-407937.5</v>
      </c>
      <c r="E12" s="541">
        <f>-'ESTADO GyP'!C8</f>
        <v>-423606.25</v>
      </c>
      <c r="F12" s="541">
        <f>-'ESTADO GyP'!D8</f>
        <v>-440823.125</v>
      </c>
      <c r="G12" s="541">
        <f>-'ESTADO GyP'!E8</f>
        <v>-459742</v>
      </c>
      <c r="H12" s="542">
        <f>-'ESTADO GyP'!F8</f>
        <v>-480532.09062500001</v>
      </c>
    </row>
    <row r="13" spans="2:8" x14ac:dyDescent="0.25">
      <c r="B13" s="312" t="s">
        <v>228</v>
      </c>
      <c r="C13" s="543"/>
      <c r="D13" s="543">
        <f>-'ESTADO GyP'!B10</f>
        <v>-52340</v>
      </c>
      <c r="E13" s="543">
        <f>-'ESTADO GyP'!C10</f>
        <v>-52340</v>
      </c>
      <c r="F13" s="543">
        <f>-'ESTADO GyP'!D10</f>
        <v>-52340</v>
      </c>
      <c r="G13" s="543">
        <f>-'ESTADO GyP'!E10</f>
        <v>-52340</v>
      </c>
      <c r="H13" s="544">
        <f>-'ESTADO GyP'!F10</f>
        <v>-52340</v>
      </c>
    </row>
    <row r="14" spans="2:8" x14ac:dyDescent="0.25">
      <c r="B14" s="312" t="s">
        <v>229</v>
      </c>
      <c r="C14" s="543"/>
      <c r="D14" s="543">
        <f>-'ESTADO GyP'!B17</f>
        <v>-63338.939126562502</v>
      </c>
      <c r="E14" s="543">
        <f>-'ESTADO GyP'!C17</f>
        <v>-332849.44937656255</v>
      </c>
      <c r="F14" s="543">
        <f>-'ESTADO GyP'!D17</f>
        <v>-104952.50023156259</v>
      </c>
      <c r="G14" s="543">
        <f>-'ESTADO GyP'!E17</f>
        <v>-129734.31456416265</v>
      </c>
      <c r="H14" s="544">
        <f>-'ESTADO GyP'!F17</f>
        <v>-197754.4259282373</v>
      </c>
    </row>
    <row r="15" spans="2:8" x14ac:dyDescent="0.25">
      <c r="B15" s="312" t="s">
        <v>230</v>
      </c>
      <c r="C15" s="543">
        <f>+SUM(C16:C20)</f>
        <v>213224.54863166666</v>
      </c>
      <c r="D15" s="543"/>
      <c r="E15" s="543"/>
      <c r="F15" s="543"/>
      <c r="G15" s="543"/>
      <c r="H15" s="544"/>
    </row>
    <row r="16" spans="2:8" x14ac:dyDescent="0.25">
      <c r="B16" s="312" t="s">
        <v>231</v>
      </c>
      <c r="C16" s="543">
        <f>+INVERSION!C4</f>
        <v>173211.869875</v>
      </c>
      <c r="D16" s="543"/>
      <c r="E16" s="543"/>
      <c r="F16" s="543"/>
      <c r="G16" s="543"/>
      <c r="H16" s="544"/>
    </row>
    <row r="17" spans="2:10" x14ac:dyDescent="0.25">
      <c r="B17" s="312" t="s">
        <v>232</v>
      </c>
      <c r="C17" s="543">
        <f>+INVERSION!C9</f>
        <v>6750</v>
      </c>
      <c r="D17" s="543"/>
      <c r="E17" s="543"/>
      <c r="F17" s="543"/>
      <c r="G17" s="543"/>
      <c r="H17" s="544"/>
    </row>
    <row r="18" spans="2:10" x14ac:dyDescent="0.25">
      <c r="B18" s="312" t="s">
        <v>233</v>
      </c>
      <c r="C18" s="543">
        <f>+INVERSION!C10</f>
        <v>18865.729166666664</v>
      </c>
      <c r="D18" s="543">
        <f>-'CAP TRABAJ'!C48</f>
        <v>-9050.4166666666679</v>
      </c>
      <c r="E18" s="543">
        <f>-'CAP TRABAJ'!D48</f>
        <v>-10136.466666666669</v>
      </c>
      <c r="F18" s="543">
        <f>-'CAP TRABAJ'!E48</f>
        <v>-11352.842666666669</v>
      </c>
      <c r="G18" s="543">
        <f>-'CAP TRABAJ'!F48</f>
        <v>-12715.18378666667</v>
      </c>
      <c r="H18" s="544">
        <f>-'CAP TRABAJ'!G48</f>
        <v>-14241.005841066673</v>
      </c>
    </row>
    <row r="19" spans="2:10" x14ac:dyDescent="0.25">
      <c r="B19" s="312" t="s">
        <v>234</v>
      </c>
      <c r="C19" s="543">
        <f>+INVERSION!C11</f>
        <v>8998.0934937500006</v>
      </c>
      <c r="D19" s="543"/>
      <c r="E19" s="543"/>
      <c r="F19" s="543"/>
      <c r="G19" s="543"/>
      <c r="H19" s="544"/>
    </row>
    <row r="20" spans="2:10" ht="12" thickBot="1" x14ac:dyDescent="0.3">
      <c r="B20" s="313" t="s">
        <v>235</v>
      </c>
      <c r="C20" s="545">
        <f>+INVERSION!C12</f>
        <v>5398.8560962499996</v>
      </c>
      <c r="D20" s="545"/>
      <c r="E20" s="545"/>
      <c r="F20" s="545"/>
      <c r="G20" s="545"/>
      <c r="H20" s="546"/>
      <c r="J20" s="314"/>
    </row>
    <row r="21" spans="2:10" ht="9" customHeight="1" thickBot="1" x14ac:dyDescent="0.3">
      <c r="C21" s="547"/>
      <c r="D21" s="547"/>
      <c r="E21" s="547"/>
      <c r="F21" s="547"/>
      <c r="G21" s="547"/>
      <c r="H21" s="547"/>
    </row>
    <row r="22" spans="2:10" s="310" customFormat="1" ht="12" thickBot="1" x14ac:dyDescent="0.3">
      <c r="B22" s="548" t="s">
        <v>236</v>
      </c>
      <c r="C22" s="549">
        <f t="shared" ref="C22:H22" si="1">+C6+C11</f>
        <v>-213224.54863166666</v>
      </c>
      <c r="D22" s="549">
        <f t="shared" si="1"/>
        <v>151093.14420677081</v>
      </c>
      <c r="E22" s="549">
        <f>+E6+E11</f>
        <v>-53120.966043229098</v>
      </c>
      <c r="F22" s="549">
        <f t="shared" si="1"/>
        <v>248240.07610177097</v>
      </c>
      <c r="G22" s="549">
        <f t="shared" si="1"/>
        <v>228908.30196917104</v>
      </c>
      <c r="H22" s="550">
        <f t="shared" si="1"/>
        <v>543494.43099687505</v>
      </c>
      <c r="J22" s="315"/>
    </row>
    <row r="23" spans="2:10" x14ac:dyDescent="0.25">
      <c r="J23" s="316"/>
    </row>
    <row r="24" spans="2:10" ht="12" thickBot="1" x14ac:dyDescent="0.3"/>
    <row r="25" spans="2:10" x14ac:dyDescent="0.25">
      <c r="B25" s="787" t="s">
        <v>237</v>
      </c>
      <c r="C25" s="788"/>
    </row>
    <row r="26" spans="2:10" x14ac:dyDescent="0.25">
      <c r="B26" s="317" t="s">
        <v>238</v>
      </c>
      <c r="C26" s="318">
        <v>0.2</v>
      </c>
    </row>
    <row r="27" spans="2:10" x14ac:dyDescent="0.25">
      <c r="B27" s="317" t="s">
        <v>239</v>
      </c>
      <c r="C27" s="319">
        <f>+NPV(C26,D22:H22)+C22</f>
        <v>348264.25403474702</v>
      </c>
    </row>
    <row r="28" spans="2:10" ht="12" thickBot="1" x14ac:dyDescent="0.3">
      <c r="B28" s="320" t="s">
        <v>240</v>
      </c>
      <c r="C28" s="321">
        <f>+IRR(C22:H22,C26)</f>
        <v>0.62036398154210581</v>
      </c>
    </row>
    <row r="29" spans="2:10" ht="3.75" customHeight="1" x14ac:dyDescent="0.25"/>
    <row r="33" spans="2:8" x14ac:dyDescent="0.25">
      <c r="B33" s="789" t="s">
        <v>216</v>
      </c>
      <c r="C33" s="789"/>
      <c r="D33" s="789"/>
      <c r="E33" s="789"/>
      <c r="F33" s="789"/>
      <c r="G33" s="789"/>
      <c r="H33" s="789"/>
    </row>
    <row r="34" spans="2:8" x14ac:dyDescent="0.25">
      <c r="B34" s="790" t="s">
        <v>241</v>
      </c>
      <c r="C34" s="792" t="s">
        <v>10</v>
      </c>
      <c r="D34" s="793"/>
      <c r="E34" s="793"/>
      <c r="F34" s="793"/>
      <c r="G34" s="793"/>
      <c r="H34" s="794"/>
    </row>
    <row r="35" spans="2:8" x14ac:dyDescent="0.25">
      <c r="B35" s="791"/>
      <c r="C35" s="322">
        <v>0</v>
      </c>
      <c r="D35" s="323">
        <v>1</v>
      </c>
      <c r="E35" s="323">
        <v>2</v>
      </c>
      <c r="F35" s="323">
        <v>3</v>
      </c>
      <c r="G35" s="323">
        <v>4</v>
      </c>
      <c r="H35" s="323">
        <v>5</v>
      </c>
    </row>
    <row r="36" spans="2:8" x14ac:dyDescent="0.25">
      <c r="B36" s="324" t="s">
        <v>217</v>
      </c>
      <c r="C36" s="325">
        <f>C5</f>
        <v>0</v>
      </c>
      <c r="D36" s="325">
        <f>+D6</f>
        <v>683760</v>
      </c>
      <c r="E36" s="325">
        <f>+E6</f>
        <v>765811.20000000019</v>
      </c>
      <c r="F36" s="325">
        <f>+F6</f>
        <v>857708.54400000034</v>
      </c>
      <c r="G36" s="325">
        <f>+G6</f>
        <v>883439.80032000039</v>
      </c>
      <c r="H36" s="325">
        <f>+H6</f>
        <v>1288361.953391179</v>
      </c>
    </row>
    <row r="37" spans="2:8" x14ac:dyDescent="0.25">
      <c r="B37" s="324" t="s">
        <v>218</v>
      </c>
      <c r="C37" s="326">
        <f>+(-C15)</f>
        <v>-213224.54863166666</v>
      </c>
      <c r="D37" s="325">
        <f>+D11</f>
        <v>-532666.85579322919</v>
      </c>
      <c r="E37" s="325">
        <f>+E11</f>
        <v>-818932.16604322928</v>
      </c>
      <c r="F37" s="325">
        <f>+F11</f>
        <v>-609468.46789822937</v>
      </c>
      <c r="G37" s="325">
        <f>+G11</f>
        <v>-654531.49835082935</v>
      </c>
      <c r="H37" s="325">
        <f>+H11</f>
        <v>-744867.52239430393</v>
      </c>
    </row>
    <row r="38" spans="2:8" x14ac:dyDescent="0.25">
      <c r="B38" s="324" t="s">
        <v>219</v>
      </c>
      <c r="C38" s="327">
        <f t="shared" ref="C38:H38" si="2">1/(1+$C$26)^C35</f>
        <v>1</v>
      </c>
      <c r="D38" s="328">
        <f t="shared" si="2"/>
        <v>0.83333333333333337</v>
      </c>
      <c r="E38" s="328">
        <f t="shared" si="2"/>
        <v>0.69444444444444442</v>
      </c>
      <c r="F38" s="328">
        <f t="shared" si="2"/>
        <v>0.57870370370370372</v>
      </c>
      <c r="G38" s="328">
        <f t="shared" si="2"/>
        <v>0.48225308641975312</v>
      </c>
      <c r="H38" s="328">
        <f t="shared" si="2"/>
        <v>0.4018775720164609</v>
      </c>
    </row>
    <row r="39" spans="2:8" x14ac:dyDescent="0.25">
      <c r="B39" s="324" t="s">
        <v>220</v>
      </c>
      <c r="C39" s="329">
        <f t="shared" ref="C39:H39" si="3">C36*C38</f>
        <v>0</v>
      </c>
      <c r="D39" s="325">
        <f t="shared" si="3"/>
        <v>569800</v>
      </c>
      <c r="E39" s="325">
        <f t="shared" si="3"/>
        <v>531813.33333333349</v>
      </c>
      <c r="F39" s="325">
        <f t="shared" si="3"/>
        <v>496359.1111111113</v>
      </c>
      <c r="G39" s="325">
        <f t="shared" si="3"/>
        <v>426041.57037037058</v>
      </c>
      <c r="H39" s="325">
        <f t="shared" si="3"/>
        <v>517763.7737072318</v>
      </c>
    </row>
    <row r="40" spans="2:8" x14ac:dyDescent="0.25">
      <c r="B40" s="324" t="s">
        <v>221</v>
      </c>
      <c r="C40" s="329">
        <f t="shared" ref="C40:H40" si="4">C37*C38</f>
        <v>-213224.54863166666</v>
      </c>
      <c r="D40" s="325">
        <f t="shared" si="4"/>
        <v>-443889.0464943577</v>
      </c>
      <c r="E40" s="325">
        <f t="shared" si="4"/>
        <v>-568702.8930855759</v>
      </c>
      <c r="F40" s="325">
        <f t="shared" si="4"/>
        <v>-352701.65966332721</v>
      </c>
      <c r="G40" s="325">
        <f t="shared" si="4"/>
        <v>-315649.83523863298</v>
      </c>
      <c r="H40" s="325">
        <f t="shared" si="4"/>
        <v>-299345.55137373967</v>
      </c>
    </row>
    <row r="41" spans="2:8" x14ac:dyDescent="0.25">
      <c r="B41" s="324" t="s">
        <v>222</v>
      </c>
      <c r="C41" s="329"/>
      <c r="D41" s="325">
        <f>D39+D40</f>
        <v>125910.9535056423</v>
      </c>
      <c r="E41" s="325">
        <f>E39+E40</f>
        <v>-36889.559752242407</v>
      </c>
      <c r="F41" s="325">
        <f>F39+F40</f>
        <v>143657.45144778409</v>
      </c>
      <c r="G41" s="325">
        <f>G39+G40</f>
        <v>110391.7351317376</v>
      </c>
      <c r="H41" s="325">
        <f>H39+H40</f>
        <v>218418.22233349213</v>
      </c>
    </row>
    <row r="42" spans="2:8" x14ac:dyDescent="0.25">
      <c r="B42" s="330" t="s">
        <v>242</v>
      </c>
      <c r="C42" s="331">
        <f>SUM(C39:H39)/-SUM(C40:H40)</f>
        <v>1.1587700502227118</v>
      </c>
      <c r="D42" s="779"/>
      <c r="E42" s="779"/>
      <c r="F42" s="779"/>
      <c r="G42" s="779"/>
      <c r="H42" s="779"/>
    </row>
    <row r="43" spans="2:8" x14ac:dyDescent="0.25">
      <c r="B43" s="330" t="s">
        <v>223</v>
      </c>
      <c r="C43" s="331">
        <f>SUM(D41:H41)/-C37</f>
        <v>2.6333215676603627</v>
      </c>
      <c r="D43" s="779"/>
      <c r="E43" s="779"/>
      <c r="F43" s="779"/>
      <c r="G43" s="779"/>
      <c r="H43" s="779"/>
    </row>
  </sheetData>
  <mergeCells count="8">
    <mergeCell ref="D42:H43"/>
    <mergeCell ref="B2:H2"/>
    <mergeCell ref="B4:B5"/>
    <mergeCell ref="C4:H4"/>
    <mergeCell ref="B25:C25"/>
    <mergeCell ref="B33:H33"/>
    <mergeCell ref="B34:B35"/>
    <mergeCell ref="C34:H34"/>
  </mergeCells>
  <pageMargins left="0.7" right="0.7" top="0.75" bottom="0.75" header="0.3" footer="0.3"/>
  <pageSetup paperSize="9" scale="68" orientation="portrait" horizontalDpi="4294967294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6"/>
  <sheetViews>
    <sheetView topLeftCell="A28" zoomScale="90" zoomScaleNormal="90" workbookViewId="0">
      <selection activeCell="G29" sqref="G29"/>
    </sheetView>
  </sheetViews>
  <sheetFormatPr baseColWidth="10" defaultRowHeight="15" x14ac:dyDescent="0.25"/>
  <cols>
    <col min="1" max="1" width="4.85546875" customWidth="1"/>
    <col min="2" max="2" width="53" customWidth="1"/>
    <col min="3" max="3" width="11.28515625" customWidth="1"/>
    <col min="4" max="4" width="10.5703125" style="13" bestFit="1" customWidth="1"/>
    <col min="5" max="5" width="15.28515625" bestFit="1" customWidth="1"/>
    <col min="6" max="6" width="1.140625" style="630" customWidth="1"/>
    <col min="7" max="9" width="14.28515625" bestFit="1" customWidth="1"/>
    <col min="10" max="10" width="12.85546875" bestFit="1" customWidth="1"/>
    <col min="11" max="12" width="6.85546875" bestFit="1" customWidth="1"/>
    <col min="13" max="13" width="5.28515625" customWidth="1"/>
    <col min="14" max="14" width="7.5703125" bestFit="1" customWidth="1"/>
    <col min="15" max="15" width="15" customWidth="1"/>
  </cols>
  <sheetData>
    <row r="1" spans="2:15" x14ac:dyDescent="0.25">
      <c r="B1" s="795" t="s">
        <v>364</v>
      </c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</row>
    <row r="2" spans="2:15" x14ac:dyDescent="0.25">
      <c r="B2" s="758" t="s">
        <v>28</v>
      </c>
      <c r="C2" s="758" t="s">
        <v>52</v>
      </c>
      <c r="D2" s="758" t="s">
        <v>36</v>
      </c>
      <c r="E2" s="758" t="s">
        <v>261</v>
      </c>
      <c r="F2" s="620"/>
      <c r="G2" s="758" t="s">
        <v>363</v>
      </c>
      <c r="H2" s="758"/>
      <c r="I2" s="758"/>
      <c r="J2" s="758"/>
      <c r="K2" s="758"/>
      <c r="L2" s="758"/>
      <c r="M2" s="758"/>
      <c r="N2" s="758"/>
    </row>
    <row r="3" spans="2:15" s="13" customFormat="1" ht="22.5" customHeight="1" x14ac:dyDescent="0.25">
      <c r="B3" s="758"/>
      <c r="C3" s="758"/>
      <c r="D3" s="758"/>
      <c r="E3" s="758"/>
      <c r="F3" s="620"/>
      <c r="G3" s="554" t="s">
        <v>353</v>
      </c>
      <c r="H3" s="554" t="s">
        <v>354</v>
      </c>
      <c r="I3" s="554" t="s">
        <v>355</v>
      </c>
      <c r="J3" s="554" t="s">
        <v>356</v>
      </c>
      <c r="K3" s="554" t="s">
        <v>357</v>
      </c>
      <c r="L3" s="554" t="s">
        <v>358</v>
      </c>
      <c r="M3" s="554" t="s">
        <v>359</v>
      </c>
      <c r="N3" s="554" t="s">
        <v>360</v>
      </c>
      <c r="O3" s="553" t="s">
        <v>361</v>
      </c>
    </row>
    <row r="4" spans="2:15" x14ac:dyDescent="0.25">
      <c r="B4" s="558" t="s">
        <v>105</v>
      </c>
      <c r="C4" s="589"/>
      <c r="D4" s="590"/>
      <c r="E4" s="594">
        <v>179961.869875</v>
      </c>
      <c r="F4" s="621"/>
      <c r="G4" s="594"/>
      <c r="H4" s="594"/>
      <c r="I4" s="594"/>
      <c r="J4" s="594"/>
      <c r="K4" s="594"/>
      <c r="L4" s="594"/>
      <c r="M4" s="594"/>
      <c r="N4" s="594"/>
      <c r="O4" s="594">
        <f>SUM(G4:N4)</f>
        <v>0</v>
      </c>
    </row>
    <row r="5" spans="2:15" x14ac:dyDescent="0.25">
      <c r="B5" s="48" t="s">
        <v>104</v>
      </c>
      <c r="C5" s="72"/>
      <c r="D5" s="49"/>
      <c r="E5" s="595">
        <v>173211.869875</v>
      </c>
      <c r="F5" s="622"/>
      <c r="G5" s="595"/>
      <c r="H5" s="595"/>
      <c r="I5" s="595"/>
      <c r="J5" s="595"/>
      <c r="K5" s="595"/>
      <c r="L5" s="595"/>
      <c r="M5" s="595"/>
      <c r="N5" s="595"/>
      <c r="O5" s="595">
        <f t="shared" ref="O5:O27" si="0">SUM(G5:N5)</f>
        <v>0</v>
      </c>
    </row>
    <row r="6" spans="2:15" x14ac:dyDescent="0.25">
      <c r="B6" s="50" t="s">
        <v>351</v>
      </c>
      <c r="C6" s="59"/>
      <c r="D6" s="51"/>
      <c r="E6" s="596">
        <v>152211.869875</v>
      </c>
      <c r="F6" s="623"/>
      <c r="G6" s="596"/>
      <c r="H6" s="596"/>
      <c r="I6" s="596"/>
      <c r="J6" s="596"/>
      <c r="K6" s="596"/>
      <c r="L6" s="596"/>
      <c r="M6" s="596"/>
      <c r="N6" s="596"/>
      <c r="O6" s="596">
        <f t="shared" si="0"/>
        <v>0</v>
      </c>
    </row>
    <row r="7" spans="2:15" x14ac:dyDescent="0.25">
      <c r="B7" s="79" t="s">
        <v>266</v>
      </c>
      <c r="C7" s="83" t="s">
        <v>265</v>
      </c>
      <c r="D7" s="83">
        <v>2</v>
      </c>
      <c r="E7" s="597">
        <v>19000</v>
      </c>
      <c r="F7" s="624"/>
      <c r="G7" s="597">
        <f>+E7</f>
        <v>19000</v>
      </c>
      <c r="H7" s="597"/>
      <c r="I7" s="597"/>
      <c r="J7" s="597"/>
      <c r="K7" s="597"/>
      <c r="L7" s="597"/>
      <c r="M7" s="597"/>
      <c r="N7" s="597"/>
      <c r="O7" s="597">
        <f t="shared" si="0"/>
        <v>19000</v>
      </c>
    </row>
    <row r="8" spans="2:15" x14ac:dyDescent="0.25">
      <c r="B8" s="79" t="s">
        <v>352</v>
      </c>
      <c r="C8" s="79" t="s">
        <v>81</v>
      </c>
      <c r="D8" s="83">
        <v>1</v>
      </c>
      <c r="E8" s="597">
        <v>133211.869875</v>
      </c>
      <c r="F8" s="624"/>
      <c r="G8" s="597"/>
      <c r="H8" s="597">
        <v>66500</v>
      </c>
      <c r="I8" s="597">
        <f>+E8-H8</f>
        <v>66711.869875000004</v>
      </c>
      <c r="J8" s="597"/>
      <c r="K8" s="597"/>
      <c r="L8" s="597"/>
      <c r="M8" s="597"/>
      <c r="N8" s="597"/>
      <c r="O8" s="597">
        <f t="shared" si="0"/>
        <v>133211.869875</v>
      </c>
    </row>
    <row r="9" spans="2:15" x14ac:dyDescent="0.25">
      <c r="B9" s="80"/>
      <c r="C9" s="55"/>
      <c r="D9" s="52"/>
      <c r="E9" s="598"/>
      <c r="F9" s="625"/>
      <c r="G9" s="598"/>
      <c r="H9" s="598"/>
      <c r="I9" s="598"/>
      <c r="J9" s="598"/>
      <c r="K9" s="598"/>
      <c r="L9" s="598"/>
      <c r="M9" s="598"/>
      <c r="N9" s="598"/>
      <c r="O9" s="598">
        <f t="shared" si="0"/>
        <v>0</v>
      </c>
    </row>
    <row r="10" spans="2:15" x14ac:dyDescent="0.25">
      <c r="B10" s="50" t="s">
        <v>250</v>
      </c>
      <c r="C10" s="59"/>
      <c r="D10" s="51"/>
      <c r="E10" s="596">
        <v>17750</v>
      </c>
      <c r="F10" s="623"/>
      <c r="G10" s="596"/>
      <c r="H10" s="596"/>
      <c r="I10" s="596"/>
      <c r="J10" s="596"/>
      <c r="K10" s="596"/>
      <c r="L10" s="596"/>
      <c r="M10" s="596"/>
      <c r="N10" s="596"/>
      <c r="O10" s="596">
        <f t="shared" si="0"/>
        <v>0</v>
      </c>
    </row>
    <row r="11" spans="2:15" x14ac:dyDescent="0.25">
      <c r="B11" s="79" t="s">
        <v>341</v>
      </c>
      <c r="C11" s="83" t="s">
        <v>83</v>
      </c>
      <c r="D11" s="83">
        <v>5</v>
      </c>
      <c r="E11" s="597">
        <v>9250</v>
      </c>
      <c r="F11" s="624"/>
      <c r="G11" s="597">
        <f>+E11</f>
        <v>9250</v>
      </c>
      <c r="H11" s="597"/>
      <c r="I11" s="597"/>
      <c r="J11" s="597"/>
      <c r="K11" s="597"/>
      <c r="L11" s="597"/>
      <c r="M11" s="597"/>
      <c r="N11" s="597"/>
      <c r="O11" s="597">
        <f t="shared" si="0"/>
        <v>9250</v>
      </c>
    </row>
    <row r="12" spans="2:15" x14ac:dyDescent="0.25">
      <c r="B12" s="79" t="s">
        <v>342</v>
      </c>
      <c r="C12" s="83" t="s">
        <v>83</v>
      </c>
      <c r="D12" s="83">
        <v>5</v>
      </c>
      <c r="E12" s="597">
        <v>8500</v>
      </c>
      <c r="F12" s="624"/>
      <c r="G12" s="597"/>
      <c r="H12" s="597">
        <f>+E12</f>
        <v>8500</v>
      </c>
      <c r="I12" s="597"/>
      <c r="J12" s="597"/>
      <c r="K12" s="597"/>
      <c r="L12" s="597"/>
      <c r="M12" s="597"/>
      <c r="N12" s="597"/>
      <c r="O12" s="597">
        <f t="shared" si="0"/>
        <v>8500</v>
      </c>
    </row>
    <row r="13" spans="2:15" x14ac:dyDescent="0.25">
      <c r="B13" s="526"/>
      <c r="C13" s="73"/>
      <c r="D13" s="54"/>
      <c r="E13" s="599"/>
      <c r="F13" s="626"/>
      <c r="G13" s="599"/>
      <c r="H13" s="599"/>
      <c r="I13" s="599"/>
      <c r="J13" s="599"/>
      <c r="K13" s="599"/>
      <c r="L13" s="599"/>
      <c r="M13" s="599"/>
      <c r="N13" s="599"/>
      <c r="O13" s="599">
        <f t="shared" si="0"/>
        <v>0</v>
      </c>
    </row>
    <row r="14" spans="2:15" x14ac:dyDescent="0.25">
      <c r="B14" s="50" t="s">
        <v>251</v>
      </c>
      <c r="C14" s="59"/>
      <c r="D14" s="51"/>
      <c r="E14" s="596">
        <v>3250</v>
      </c>
      <c r="F14" s="623"/>
      <c r="G14" s="596"/>
      <c r="H14" s="596"/>
      <c r="I14" s="596"/>
      <c r="J14" s="596"/>
      <c r="K14" s="596"/>
      <c r="L14" s="596"/>
      <c r="M14" s="596"/>
      <c r="N14" s="596"/>
      <c r="O14" s="596">
        <f t="shared" si="0"/>
        <v>0</v>
      </c>
    </row>
    <row r="15" spans="2:15" x14ac:dyDescent="0.25">
      <c r="B15" s="79" t="s">
        <v>343</v>
      </c>
      <c r="C15" s="83" t="s">
        <v>83</v>
      </c>
      <c r="D15" s="83">
        <v>5</v>
      </c>
      <c r="E15" s="597">
        <v>3250</v>
      </c>
      <c r="F15" s="624"/>
      <c r="G15" s="597">
        <f>+E15</f>
        <v>3250</v>
      </c>
      <c r="H15" s="597"/>
      <c r="I15" s="597"/>
      <c r="J15" s="597"/>
      <c r="K15" s="597"/>
      <c r="L15" s="597"/>
      <c r="M15" s="597"/>
      <c r="N15" s="597"/>
      <c r="O15" s="597">
        <f t="shared" si="0"/>
        <v>3250</v>
      </c>
    </row>
    <row r="16" spans="2:15" x14ac:dyDescent="0.25">
      <c r="B16" s="79"/>
      <c r="C16" s="83"/>
      <c r="D16" s="83"/>
      <c r="E16" s="597"/>
      <c r="F16" s="624"/>
      <c r="G16" s="597"/>
      <c r="H16" s="597"/>
      <c r="I16" s="597"/>
      <c r="J16" s="597"/>
      <c r="K16" s="597"/>
      <c r="L16" s="597"/>
      <c r="M16" s="597"/>
      <c r="N16" s="597"/>
      <c r="O16" s="597">
        <f t="shared" si="0"/>
        <v>0</v>
      </c>
    </row>
    <row r="17" spans="2:15" x14ac:dyDescent="0.25">
      <c r="B17" s="50" t="s">
        <v>252</v>
      </c>
      <c r="C17" s="59"/>
      <c r="D17" s="51"/>
      <c r="E17" s="596">
        <v>0</v>
      </c>
      <c r="F17" s="623"/>
      <c r="G17" s="596"/>
      <c r="H17" s="596"/>
      <c r="I17" s="596"/>
      <c r="J17" s="596"/>
      <c r="K17" s="596"/>
      <c r="L17" s="596"/>
      <c r="M17" s="596"/>
      <c r="N17" s="596"/>
      <c r="O17" s="596">
        <f t="shared" si="0"/>
        <v>0</v>
      </c>
    </row>
    <row r="18" spans="2:15" x14ac:dyDescent="0.25">
      <c r="B18" s="79"/>
      <c r="C18" s="55"/>
      <c r="D18" s="52"/>
      <c r="E18" s="597"/>
      <c r="F18" s="624"/>
      <c r="G18" s="597"/>
      <c r="H18" s="597"/>
      <c r="I18" s="597"/>
      <c r="J18" s="597"/>
      <c r="K18" s="597"/>
      <c r="L18" s="597"/>
      <c r="M18" s="597"/>
      <c r="N18" s="597"/>
      <c r="O18" s="597">
        <f t="shared" si="0"/>
        <v>0</v>
      </c>
    </row>
    <row r="19" spans="2:15" x14ac:dyDescent="0.25">
      <c r="B19" s="56" t="s">
        <v>103</v>
      </c>
      <c r="C19" s="74"/>
      <c r="D19" s="57"/>
      <c r="E19" s="600">
        <v>6750</v>
      </c>
      <c r="F19" s="627"/>
      <c r="G19" s="600"/>
      <c r="H19" s="600"/>
      <c r="I19" s="600"/>
      <c r="J19" s="600"/>
      <c r="K19" s="600"/>
      <c r="L19" s="600"/>
      <c r="M19" s="600"/>
      <c r="N19" s="600"/>
      <c r="O19" s="600">
        <f t="shared" si="0"/>
        <v>0</v>
      </c>
    </row>
    <row r="20" spans="2:15" ht="22.5" x14ac:dyDescent="0.25">
      <c r="B20" s="58" t="s">
        <v>347</v>
      </c>
      <c r="C20" s="59" t="s">
        <v>249</v>
      </c>
      <c r="D20" s="51">
        <v>3</v>
      </c>
      <c r="E20" s="596">
        <v>6750</v>
      </c>
      <c r="F20" s="623"/>
      <c r="G20" s="596"/>
      <c r="H20" s="596">
        <f>+E20/3</f>
        <v>2250</v>
      </c>
      <c r="I20" s="596">
        <f>+H20</f>
        <v>2250</v>
      </c>
      <c r="J20" s="596">
        <f>+H20</f>
        <v>2250</v>
      </c>
      <c r="K20" s="596"/>
      <c r="L20" s="596"/>
      <c r="M20" s="596"/>
      <c r="N20" s="596"/>
      <c r="O20" s="596">
        <f t="shared" si="0"/>
        <v>6750</v>
      </c>
    </row>
    <row r="21" spans="2:15" s="587" customFormat="1" x14ac:dyDescent="0.25">
      <c r="B21" s="583"/>
      <c r="C21" s="584"/>
      <c r="D21" s="585"/>
      <c r="E21" s="601"/>
      <c r="F21" s="623"/>
      <c r="G21" s="601"/>
      <c r="H21" s="601"/>
      <c r="I21" s="601"/>
      <c r="J21" s="601"/>
      <c r="K21" s="601"/>
      <c r="L21" s="601"/>
      <c r="M21" s="601"/>
      <c r="N21" s="601"/>
      <c r="O21" s="601">
        <f t="shared" si="0"/>
        <v>0</v>
      </c>
    </row>
    <row r="22" spans="2:15" x14ac:dyDescent="0.25">
      <c r="B22" s="558" t="s">
        <v>100</v>
      </c>
      <c r="C22" s="589"/>
      <c r="D22" s="590"/>
      <c r="E22" s="594">
        <v>18865.729166666664</v>
      </c>
      <c r="F22" s="621"/>
      <c r="G22" s="594"/>
      <c r="H22" s="594"/>
      <c r="I22" s="594"/>
      <c r="J22" s="594"/>
      <c r="K22" s="594"/>
      <c r="L22" s="594"/>
      <c r="M22" s="594"/>
      <c r="N22" s="594"/>
      <c r="O22" s="594">
        <f t="shared" si="0"/>
        <v>0</v>
      </c>
    </row>
    <row r="23" spans="2:15" s="582" customFormat="1" x14ac:dyDescent="0.25">
      <c r="B23" s="32" t="s">
        <v>348</v>
      </c>
      <c r="C23" s="580" t="s">
        <v>81</v>
      </c>
      <c r="D23" s="581">
        <v>1</v>
      </c>
      <c r="E23" s="602">
        <v>18865.729166666664</v>
      </c>
      <c r="F23" s="622"/>
      <c r="G23" s="602">
        <f>+E23</f>
        <v>18865.729166666664</v>
      </c>
      <c r="H23" s="602"/>
      <c r="I23" s="602"/>
      <c r="J23" s="602"/>
      <c r="K23" s="602"/>
      <c r="L23" s="602"/>
      <c r="M23" s="602"/>
      <c r="N23" s="602"/>
      <c r="O23" s="602">
        <f t="shared" si="0"/>
        <v>18865.729166666664</v>
      </c>
    </row>
    <row r="24" spans="2:15" x14ac:dyDescent="0.25">
      <c r="B24" s="28"/>
      <c r="C24" s="66"/>
      <c r="D24" s="47"/>
      <c r="E24" s="603"/>
      <c r="F24" s="628"/>
      <c r="G24" s="603"/>
      <c r="H24" s="603"/>
      <c r="I24" s="603"/>
      <c r="J24" s="603"/>
      <c r="K24" s="603"/>
      <c r="L24" s="603"/>
      <c r="M24" s="603"/>
      <c r="N24" s="603"/>
      <c r="O24" s="603">
        <f t="shared" si="0"/>
        <v>0</v>
      </c>
    </row>
    <row r="25" spans="2:15" s="588" customFormat="1" ht="15.75" x14ac:dyDescent="0.25">
      <c r="B25" s="591" t="s">
        <v>344</v>
      </c>
      <c r="C25" s="592" t="s">
        <v>81</v>
      </c>
      <c r="D25" s="593">
        <v>1</v>
      </c>
      <c r="E25" s="604">
        <v>8998.0934937500006</v>
      </c>
      <c r="F25" s="629"/>
      <c r="G25" s="605">
        <v>2240</v>
      </c>
      <c r="H25" s="605">
        <f>+G25</f>
        <v>2240</v>
      </c>
      <c r="I25" s="605">
        <f>+H25</f>
        <v>2240</v>
      </c>
      <c r="J25" s="605">
        <f>+E25-3*G25</f>
        <v>2278.0934937500006</v>
      </c>
      <c r="K25" s="605"/>
      <c r="L25" s="605"/>
      <c r="M25" s="605"/>
      <c r="N25" s="605"/>
      <c r="O25" s="605">
        <f t="shared" si="0"/>
        <v>8998.0934937500006</v>
      </c>
    </row>
    <row r="26" spans="2:15" s="588" customFormat="1" ht="15.75" x14ac:dyDescent="0.25">
      <c r="B26" s="591" t="s">
        <v>336</v>
      </c>
      <c r="C26" s="592" t="s">
        <v>81</v>
      </c>
      <c r="D26" s="593">
        <v>1</v>
      </c>
      <c r="E26" s="604">
        <v>5398.8560962499996</v>
      </c>
      <c r="F26" s="629"/>
      <c r="G26" s="605">
        <v>1345</v>
      </c>
      <c r="H26" s="605">
        <f>+G26</f>
        <v>1345</v>
      </c>
      <c r="I26" s="605">
        <f>+G26</f>
        <v>1345</v>
      </c>
      <c r="J26" s="605">
        <f>+E26-3*G26</f>
        <v>1363.8560962499996</v>
      </c>
      <c r="K26" s="605"/>
      <c r="L26" s="605"/>
      <c r="M26" s="605"/>
      <c r="N26" s="605"/>
      <c r="O26" s="605">
        <f t="shared" si="0"/>
        <v>5398.8560962499996</v>
      </c>
    </row>
    <row r="27" spans="2:15" x14ac:dyDescent="0.25">
      <c r="B27" s="37" t="s">
        <v>362</v>
      </c>
      <c r="C27" s="70"/>
      <c r="D27" s="60"/>
      <c r="E27" s="606">
        <v>213224.54863166666</v>
      </c>
      <c r="F27" s="628"/>
      <c r="G27" s="606">
        <f>SUM(G4:G26)</f>
        <v>53950.729166666664</v>
      </c>
      <c r="H27" s="606">
        <f t="shared" ref="H27:J27" si="1">SUM(H4:H26)</f>
        <v>80835</v>
      </c>
      <c r="I27" s="606">
        <f t="shared" si="1"/>
        <v>72546.869875000004</v>
      </c>
      <c r="J27" s="606">
        <f t="shared" si="1"/>
        <v>5891.9495900000002</v>
      </c>
      <c r="K27" s="606"/>
      <c r="L27" s="606"/>
      <c r="M27" s="606"/>
      <c r="N27" s="606"/>
      <c r="O27" s="606">
        <f t="shared" si="0"/>
        <v>213224.54863166666</v>
      </c>
    </row>
    <row r="30" spans="2:15" x14ac:dyDescent="0.25">
      <c r="B30" s="795" t="s">
        <v>365</v>
      </c>
      <c r="C30" s="795"/>
      <c r="D30" s="795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</row>
    <row r="31" spans="2:15" x14ac:dyDescent="0.25">
      <c r="B31" s="758" t="s">
        <v>28</v>
      </c>
      <c r="C31" s="758" t="s">
        <v>52</v>
      </c>
      <c r="D31" s="758" t="s">
        <v>36</v>
      </c>
      <c r="E31" s="758" t="s">
        <v>261</v>
      </c>
      <c r="F31" s="620"/>
      <c r="G31" s="758" t="s">
        <v>366</v>
      </c>
      <c r="H31" s="758"/>
      <c r="I31" s="758"/>
      <c r="J31" s="758"/>
      <c r="K31" s="758"/>
      <c r="L31" s="758"/>
      <c r="M31" s="758"/>
      <c r="N31" s="758"/>
    </row>
    <row r="32" spans="2:15" x14ac:dyDescent="0.25">
      <c r="B32" s="758"/>
      <c r="C32" s="758"/>
      <c r="D32" s="758"/>
      <c r="E32" s="758"/>
      <c r="F32" s="620"/>
      <c r="G32" s="554" t="s">
        <v>353</v>
      </c>
      <c r="H32" s="554" t="s">
        <v>354</v>
      </c>
      <c r="I32" s="554" t="s">
        <v>355</v>
      </c>
      <c r="J32" s="554" t="s">
        <v>356</v>
      </c>
      <c r="K32" s="554" t="s">
        <v>357</v>
      </c>
      <c r="L32" s="554" t="s">
        <v>358</v>
      </c>
      <c r="M32" s="554" t="s">
        <v>359</v>
      </c>
      <c r="N32" s="554" t="s">
        <v>360</v>
      </c>
      <c r="O32" s="555" t="s">
        <v>361</v>
      </c>
    </row>
    <row r="33" spans="2:15" x14ac:dyDescent="0.25">
      <c r="B33" s="558" t="s">
        <v>105</v>
      </c>
      <c r="C33" s="589"/>
      <c r="D33" s="590"/>
      <c r="E33" s="594">
        <v>179961.869875</v>
      </c>
      <c r="F33" s="621"/>
      <c r="G33" s="607"/>
      <c r="H33" s="607"/>
      <c r="I33" s="607"/>
      <c r="J33" s="607"/>
      <c r="K33" s="607"/>
      <c r="L33" s="607"/>
      <c r="M33" s="607"/>
      <c r="N33" s="607"/>
      <c r="O33" s="607">
        <f>SUM(G33:N33)</f>
        <v>0</v>
      </c>
    </row>
    <row r="34" spans="2:15" x14ac:dyDescent="0.25">
      <c r="B34" s="48" t="s">
        <v>104</v>
      </c>
      <c r="C34" s="72"/>
      <c r="D34" s="49"/>
      <c r="E34" s="595">
        <v>173211.869875</v>
      </c>
      <c r="F34" s="622"/>
      <c r="G34" s="608"/>
      <c r="H34" s="608"/>
      <c r="I34" s="608"/>
      <c r="J34" s="608"/>
      <c r="K34" s="608"/>
      <c r="L34" s="608"/>
      <c r="M34" s="608"/>
      <c r="N34" s="608"/>
      <c r="O34" s="608"/>
    </row>
    <row r="35" spans="2:15" x14ac:dyDescent="0.25">
      <c r="B35" s="50" t="s">
        <v>351</v>
      </c>
      <c r="C35" s="59"/>
      <c r="D35" s="51"/>
      <c r="E35" s="596">
        <v>152211.869875</v>
      </c>
      <c r="F35" s="623"/>
      <c r="G35" s="609"/>
      <c r="H35" s="609"/>
      <c r="I35" s="609"/>
      <c r="J35" s="609"/>
      <c r="K35" s="609"/>
      <c r="L35" s="609"/>
      <c r="M35" s="609"/>
      <c r="N35" s="609"/>
      <c r="O35" s="609"/>
    </row>
    <row r="36" spans="2:15" x14ac:dyDescent="0.25">
      <c r="B36" s="79" t="s">
        <v>266</v>
      </c>
      <c r="C36" s="83" t="s">
        <v>265</v>
      </c>
      <c r="D36" s="83">
        <v>2</v>
      </c>
      <c r="E36" s="597">
        <v>19000</v>
      </c>
      <c r="F36" s="624"/>
      <c r="G36" s="610">
        <f>+G7/E36</f>
        <v>1</v>
      </c>
      <c r="H36" s="610"/>
      <c r="I36" s="610"/>
      <c r="J36" s="610"/>
      <c r="K36" s="610"/>
      <c r="L36" s="610"/>
      <c r="M36" s="610"/>
      <c r="N36" s="610"/>
      <c r="O36" s="610">
        <f>SUM(G36:N36)</f>
        <v>1</v>
      </c>
    </row>
    <row r="37" spans="2:15" x14ac:dyDescent="0.25">
      <c r="B37" s="79" t="s">
        <v>352</v>
      </c>
      <c r="C37" s="79" t="s">
        <v>81</v>
      </c>
      <c r="D37" s="83">
        <v>1</v>
      </c>
      <c r="E37" s="597">
        <v>133211.869875</v>
      </c>
      <c r="F37" s="624"/>
      <c r="G37" s="610"/>
      <c r="H37" s="610">
        <f>+H8/E8</f>
        <v>0.49920476352745885</v>
      </c>
      <c r="I37" s="610">
        <f>+I8/E37</f>
        <v>0.50079523647254109</v>
      </c>
      <c r="J37" s="610"/>
      <c r="K37" s="610"/>
      <c r="L37" s="610"/>
      <c r="M37" s="610"/>
      <c r="N37" s="610"/>
      <c r="O37" s="610">
        <f>SUM(G37:N37)</f>
        <v>1</v>
      </c>
    </row>
    <row r="38" spans="2:15" x14ac:dyDescent="0.25">
      <c r="B38" s="80"/>
      <c r="C38" s="55"/>
      <c r="D38" s="52"/>
      <c r="E38" s="598"/>
      <c r="F38" s="625"/>
      <c r="G38" s="611"/>
      <c r="H38" s="611"/>
      <c r="I38" s="611"/>
      <c r="J38" s="611"/>
      <c r="K38" s="611"/>
      <c r="L38" s="611"/>
      <c r="M38" s="611"/>
      <c r="N38" s="611"/>
      <c r="O38" s="611"/>
    </row>
    <row r="39" spans="2:15" x14ac:dyDescent="0.25">
      <c r="B39" s="50" t="s">
        <v>250</v>
      </c>
      <c r="C39" s="59"/>
      <c r="D39" s="51"/>
      <c r="E39" s="596">
        <v>17750</v>
      </c>
      <c r="F39" s="623"/>
      <c r="G39" s="609"/>
      <c r="H39" s="609"/>
      <c r="I39" s="609"/>
      <c r="J39" s="609"/>
      <c r="K39" s="609"/>
      <c r="L39" s="609"/>
      <c r="M39" s="609"/>
      <c r="N39" s="609"/>
      <c r="O39" s="609"/>
    </row>
    <row r="40" spans="2:15" x14ac:dyDescent="0.25">
      <c r="B40" s="79" t="s">
        <v>341</v>
      </c>
      <c r="C40" s="83" t="s">
        <v>83</v>
      </c>
      <c r="D40" s="83">
        <v>5</v>
      </c>
      <c r="E40" s="597">
        <v>9250</v>
      </c>
      <c r="F40" s="624"/>
      <c r="G40" s="610">
        <f>+G11/E40</f>
        <v>1</v>
      </c>
      <c r="H40" s="610"/>
      <c r="I40" s="610"/>
      <c r="J40" s="610"/>
      <c r="K40" s="610"/>
      <c r="L40" s="610"/>
      <c r="M40" s="610"/>
      <c r="N40" s="610"/>
      <c r="O40" s="610">
        <f t="shared" ref="O40:O55" si="2">SUM(G40:N40)</f>
        <v>1</v>
      </c>
    </row>
    <row r="41" spans="2:15" x14ac:dyDescent="0.25">
      <c r="B41" s="79" t="s">
        <v>342</v>
      </c>
      <c r="C41" s="83" t="s">
        <v>83</v>
      </c>
      <c r="D41" s="83">
        <v>5</v>
      </c>
      <c r="E41" s="597">
        <v>8500</v>
      </c>
      <c r="F41" s="624"/>
      <c r="G41" s="610"/>
      <c r="H41" s="610">
        <f>+H12/E41</f>
        <v>1</v>
      </c>
      <c r="I41" s="610"/>
      <c r="J41" s="610"/>
      <c r="K41" s="610"/>
      <c r="L41" s="610"/>
      <c r="M41" s="610"/>
      <c r="N41" s="610"/>
      <c r="O41" s="610">
        <f t="shared" si="2"/>
        <v>1</v>
      </c>
    </row>
    <row r="42" spans="2:15" x14ac:dyDescent="0.25">
      <c r="B42" s="526"/>
      <c r="C42" s="73"/>
      <c r="D42" s="54"/>
      <c r="E42" s="599"/>
      <c r="F42" s="626"/>
      <c r="G42" s="612"/>
      <c r="H42" s="612"/>
      <c r="I42" s="612"/>
      <c r="J42" s="612"/>
      <c r="K42" s="612"/>
      <c r="L42" s="612"/>
      <c r="M42" s="612"/>
      <c r="N42" s="612"/>
      <c r="O42" s="612"/>
    </row>
    <row r="43" spans="2:15" x14ac:dyDescent="0.25">
      <c r="B43" s="50" t="s">
        <v>251</v>
      </c>
      <c r="C43" s="59"/>
      <c r="D43" s="51"/>
      <c r="E43" s="596">
        <v>3250</v>
      </c>
      <c r="F43" s="623"/>
      <c r="G43" s="609"/>
      <c r="H43" s="609"/>
      <c r="I43" s="609"/>
      <c r="J43" s="609"/>
      <c r="K43" s="609"/>
      <c r="L43" s="609"/>
      <c r="M43" s="609"/>
      <c r="N43" s="609"/>
      <c r="O43" s="609"/>
    </row>
    <row r="44" spans="2:15" x14ac:dyDescent="0.25">
      <c r="B44" s="79" t="s">
        <v>343</v>
      </c>
      <c r="C44" s="83" t="s">
        <v>83</v>
      </c>
      <c r="D44" s="83">
        <v>5</v>
      </c>
      <c r="E44" s="597">
        <v>3250</v>
      </c>
      <c r="F44" s="624"/>
      <c r="G44" s="610">
        <f>+G15/E44</f>
        <v>1</v>
      </c>
      <c r="H44" s="610"/>
      <c r="I44" s="610"/>
      <c r="J44" s="610"/>
      <c r="K44" s="610"/>
      <c r="L44" s="610"/>
      <c r="M44" s="610"/>
      <c r="N44" s="610"/>
      <c r="O44" s="610">
        <f t="shared" si="2"/>
        <v>1</v>
      </c>
    </row>
    <row r="45" spans="2:15" x14ac:dyDescent="0.25">
      <c r="B45" s="79"/>
      <c r="C45" s="83"/>
      <c r="D45" s="83"/>
      <c r="E45" s="597"/>
      <c r="F45" s="624"/>
      <c r="G45" s="610"/>
      <c r="H45" s="610"/>
      <c r="I45" s="610"/>
      <c r="J45" s="610"/>
      <c r="K45" s="610"/>
      <c r="L45" s="610"/>
      <c r="M45" s="610"/>
      <c r="N45" s="610"/>
      <c r="O45" s="610"/>
    </row>
    <row r="46" spans="2:15" x14ac:dyDescent="0.25">
      <c r="B46" s="50" t="s">
        <v>252</v>
      </c>
      <c r="C46" s="59"/>
      <c r="D46" s="51"/>
      <c r="E46" s="596">
        <v>0</v>
      </c>
      <c r="F46" s="623"/>
      <c r="G46" s="609"/>
      <c r="H46" s="609"/>
      <c r="I46" s="609"/>
      <c r="J46" s="609"/>
      <c r="K46" s="609"/>
      <c r="L46" s="609"/>
      <c r="M46" s="609"/>
      <c r="N46" s="609"/>
      <c r="O46" s="609"/>
    </row>
    <row r="47" spans="2:15" x14ac:dyDescent="0.25">
      <c r="B47" s="79"/>
      <c r="C47" s="55"/>
      <c r="D47" s="52"/>
      <c r="E47" s="597"/>
      <c r="F47" s="624"/>
      <c r="G47" s="610"/>
      <c r="H47" s="610"/>
      <c r="I47" s="610"/>
      <c r="J47" s="610"/>
      <c r="K47" s="610"/>
      <c r="L47" s="610"/>
      <c r="M47" s="610"/>
      <c r="N47" s="610"/>
      <c r="O47" s="610"/>
    </row>
    <row r="48" spans="2:15" x14ac:dyDescent="0.25">
      <c r="B48" s="56" t="s">
        <v>103</v>
      </c>
      <c r="C48" s="74"/>
      <c r="D48" s="57"/>
      <c r="E48" s="600">
        <v>6750</v>
      </c>
      <c r="F48" s="627"/>
      <c r="G48" s="613"/>
      <c r="H48" s="613"/>
      <c r="I48" s="613"/>
      <c r="J48" s="613"/>
      <c r="K48" s="613"/>
      <c r="L48" s="613"/>
      <c r="M48" s="613"/>
      <c r="N48" s="613"/>
      <c r="O48" s="613"/>
    </row>
    <row r="49" spans="2:15" ht="22.5" x14ac:dyDescent="0.25">
      <c r="B49" s="58" t="s">
        <v>347</v>
      </c>
      <c r="C49" s="59" t="s">
        <v>249</v>
      </c>
      <c r="D49" s="51">
        <v>3</v>
      </c>
      <c r="E49" s="596">
        <v>6750</v>
      </c>
      <c r="F49" s="623"/>
      <c r="G49" s="609"/>
      <c r="H49" s="609">
        <f>+H20/E49</f>
        <v>0.33333333333333331</v>
      </c>
      <c r="I49" s="609">
        <f>+H49</f>
        <v>0.33333333333333331</v>
      </c>
      <c r="J49" s="609">
        <f>+H49</f>
        <v>0.33333333333333331</v>
      </c>
      <c r="K49" s="609"/>
      <c r="L49" s="609"/>
      <c r="M49" s="609"/>
      <c r="N49" s="609"/>
      <c r="O49" s="609">
        <f t="shared" si="2"/>
        <v>1</v>
      </c>
    </row>
    <row r="50" spans="2:15" x14ac:dyDescent="0.25">
      <c r="B50" s="583"/>
      <c r="C50" s="584"/>
      <c r="D50" s="585"/>
      <c r="E50" s="601"/>
      <c r="F50" s="623"/>
      <c r="G50" s="614"/>
      <c r="H50" s="614"/>
      <c r="I50" s="614"/>
      <c r="J50" s="614"/>
      <c r="K50" s="614"/>
      <c r="L50" s="614"/>
      <c r="M50" s="614"/>
      <c r="N50" s="614"/>
      <c r="O50" s="614"/>
    </row>
    <row r="51" spans="2:15" x14ac:dyDescent="0.25">
      <c r="B51" s="558" t="s">
        <v>100</v>
      </c>
      <c r="C51" s="589"/>
      <c r="D51" s="590"/>
      <c r="E51" s="594">
        <v>18865.729166666664</v>
      </c>
      <c r="F51" s="621"/>
      <c r="G51" s="615"/>
      <c r="H51" s="615"/>
      <c r="I51" s="615"/>
      <c r="J51" s="615"/>
      <c r="K51" s="615"/>
      <c r="L51" s="615"/>
      <c r="M51" s="615"/>
      <c r="N51" s="615"/>
      <c r="O51" s="615"/>
    </row>
    <row r="52" spans="2:15" x14ac:dyDescent="0.25">
      <c r="B52" s="32" t="s">
        <v>348</v>
      </c>
      <c r="C52" s="580" t="s">
        <v>81</v>
      </c>
      <c r="D52" s="581">
        <v>1</v>
      </c>
      <c r="E52" s="602">
        <v>18865.729166666664</v>
      </c>
      <c r="F52" s="622"/>
      <c r="G52" s="616">
        <f>+G23/E52</f>
        <v>1</v>
      </c>
      <c r="H52" s="616"/>
      <c r="I52" s="616"/>
      <c r="J52" s="616"/>
      <c r="K52" s="616"/>
      <c r="L52" s="616"/>
      <c r="M52" s="616"/>
      <c r="N52" s="616"/>
      <c r="O52" s="616">
        <f t="shared" si="2"/>
        <v>1</v>
      </c>
    </row>
    <row r="53" spans="2:15" x14ac:dyDescent="0.25">
      <c r="B53" s="28"/>
      <c r="C53" s="66"/>
      <c r="D53" s="47"/>
      <c r="E53" s="603"/>
      <c r="F53" s="628"/>
      <c r="G53" s="617"/>
      <c r="H53" s="617"/>
      <c r="I53" s="617"/>
      <c r="J53" s="617"/>
      <c r="K53" s="617"/>
      <c r="L53" s="617"/>
      <c r="M53" s="617"/>
      <c r="N53" s="617"/>
      <c r="O53" s="617"/>
    </row>
    <row r="54" spans="2:15" ht="15.75" x14ac:dyDescent="0.25">
      <c r="B54" s="591" t="s">
        <v>344</v>
      </c>
      <c r="C54" s="592" t="s">
        <v>81</v>
      </c>
      <c r="D54" s="593">
        <v>1</v>
      </c>
      <c r="E54" s="604">
        <v>8998.0934937500006</v>
      </c>
      <c r="F54" s="629"/>
      <c r="G54" s="618">
        <f>+G25/E54</f>
        <v>0.24894162319561194</v>
      </c>
      <c r="H54" s="618">
        <f>+G54</f>
        <v>0.24894162319561194</v>
      </c>
      <c r="I54" s="618">
        <f>+H54</f>
        <v>0.24894162319561194</v>
      </c>
      <c r="J54" s="618">
        <f>+J25/E54</f>
        <v>0.2531751304131642</v>
      </c>
      <c r="K54" s="618"/>
      <c r="L54" s="618"/>
      <c r="M54" s="618"/>
      <c r="N54" s="618"/>
      <c r="O54" s="618">
        <f t="shared" si="2"/>
        <v>1</v>
      </c>
    </row>
    <row r="55" spans="2:15" ht="15.75" x14ac:dyDescent="0.25">
      <c r="B55" s="591" t="s">
        <v>336</v>
      </c>
      <c r="C55" s="592" t="s">
        <v>81</v>
      </c>
      <c r="D55" s="593">
        <v>1</v>
      </c>
      <c r="E55" s="604">
        <v>5398.8560962499996</v>
      </c>
      <c r="F55" s="629"/>
      <c r="G55" s="618">
        <f>+G26/E55</f>
        <v>0.24912684761763251</v>
      </c>
      <c r="H55" s="618">
        <f>+G55</f>
        <v>0.24912684761763251</v>
      </c>
      <c r="I55" s="618">
        <f>+H55</f>
        <v>0.24912684761763251</v>
      </c>
      <c r="J55" s="618">
        <f>+J26/E55</f>
        <v>0.25261945714710243</v>
      </c>
      <c r="K55" s="618"/>
      <c r="L55" s="618"/>
      <c r="M55" s="618"/>
      <c r="N55" s="618"/>
      <c r="O55" s="618">
        <f t="shared" si="2"/>
        <v>1</v>
      </c>
    </row>
    <row r="56" spans="2:15" x14ac:dyDescent="0.25">
      <c r="B56" s="37" t="s">
        <v>362</v>
      </c>
      <c r="C56" s="70"/>
      <c r="D56" s="60"/>
      <c r="E56" s="606">
        <v>213224.54863166666</v>
      </c>
      <c r="F56" s="628"/>
      <c r="G56" s="619"/>
      <c r="H56" s="619"/>
      <c r="I56" s="619"/>
      <c r="J56" s="619"/>
      <c r="K56" s="619"/>
      <c r="L56" s="619"/>
      <c r="M56" s="619"/>
      <c r="N56" s="619"/>
      <c r="O56" s="619"/>
    </row>
  </sheetData>
  <mergeCells count="12">
    <mergeCell ref="B1:O1"/>
    <mergeCell ref="B2:B3"/>
    <mergeCell ref="C2:C3"/>
    <mergeCell ref="D2:D3"/>
    <mergeCell ref="E2:E3"/>
    <mergeCell ref="G2:N2"/>
    <mergeCell ref="B30:O30"/>
    <mergeCell ref="B31:B32"/>
    <mergeCell ref="C31:C32"/>
    <mergeCell ref="D31:D32"/>
    <mergeCell ref="E31:E32"/>
    <mergeCell ref="G31:N31"/>
  </mergeCells>
  <pageMargins left="0.7" right="0.7" top="0.75" bottom="0.75" header="0.3" footer="0.3"/>
  <ignoredErrors>
    <ignoredError sqref="O4:O5 O22 O19 O17 O14 O10 O6 O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0"/>
  <sheetViews>
    <sheetView showGridLines="0" tabSelected="1" zoomScale="120" zoomScaleNormal="120" zoomScaleSheetLayoutView="100" workbookViewId="0">
      <selection activeCell="B37" sqref="B37"/>
    </sheetView>
  </sheetViews>
  <sheetFormatPr baseColWidth="10" defaultRowHeight="12" x14ac:dyDescent="0.25"/>
  <cols>
    <col min="1" max="1" width="11.28515625" style="94" customWidth="1"/>
    <col min="2" max="2" width="34" style="94" customWidth="1"/>
    <col min="3" max="3" width="18.7109375" style="94" customWidth="1"/>
    <col min="4" max="4" width="19" style="94" customWidth="1"/>
    <col min="5" max="5" width="13.28515625" style="94" customWidth="1"/>
    <col min="6" max="6" width="26.28515625" style="94" customWidth="1"/>
    <col min="7" max="7" width="14.85546875" style="94" customWidth="1"/>
    <col min="8" max="8" width="13.42578125" style="94" customWidth="1"/>
    <col min="9" max="9" width="12.42578125" style="94" customWidth="1"/>
    <col min="10" max="10" width="12" style="95" customWidth="1"/>
    <col min="11" max="11" width="14.42578125" style="95" customWidth="1"/>
    <col min="12" max="12" width="12.85546875" style="95" customWidth="1"/>
    <col min="13" max="15" width="7" style="95" customWidth="1"/>
    <col min="16" max="16" width="15" style="95" bestFit="1" customWidth="1"/>
    <col min="17" max="17" width="10" style="95" bestFit="1" customWidth="1"/>
    <col min="18" max="18" width="16.28515625" style="95" customWidth="1"/>
    <col min="19" max="19" width="6.5703125" style="95" customWidth="1"/>
    <col min="20" max="16384" width="11.42578125" style="94"/>
  </cols>
  <sheetData>
    <row r="2" spans="2:19" x14ac:dyDescent="0.25">
      <c r="B2" s="670" t="s">
        <v>54</v>
      </c>
      <c r="C2" s="672" t="s">
        <v>10</v>
      </c>
      <c r="D2" s="672"/>
      <c r="K2" s="96"/>
    </row>
    <row r="3" spans="2:19" x14ac:dyDescent="0.25">
      <c r="B3" s="671"/>
      <c r="C3" s="97">
        <v>2007</v>
      </c>
      <c r="D3" s="97">
        <v>2017</v>
      </c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2:19" s="101" customFormat="1" x14ac:dyDescent="0.25">
      <c r="B4" s="99" t="s">
        <v>290</v>
      </c>
      <c r="C4" s="100">
        <v>7605742</v>
      </c>
      <c r="D4" s="100">
        <v>8574974</v>
      </c>
      <c r="F4" s="94"/>
      <c r="G4" s="94"/>
      <c r="H4" s="94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2:19" x14ac:dyDescent="0.25">
      <c r="B5" s="155" t="s">
        <v>280</v>
      </c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19" x14ac:dyDescent="0.25">
      <c r="B6" s="155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2:19" x14ac:dyDescent="0.25">
      <c r="B7" s="670" t="s">
        <v>273</v>
      </c>
      <c r="C7" s="673" t="s">
        <v>274</v>
      </c>
      <c r="D7" s="674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2:19" x14ac:dyDescent="0.25">
      <c r="B8" s="671"/>
      <c r="C8" s="97" t="s">
        <v>275</v>
      </c>
      <c r="D8" s="97" t="s">
        <v>276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</row>
    <row r="9" spans="2:19" x14ac:dyDescent="0.25">
      <c r="B9" s="103" t="s">
        <v>277</v>
      </c>
      <c r="C9" s="100">
        <f>C4</f>
        <v>7605742</v>
      </c>
      <c r="D9" s="100">
        <f>D4</f>
        <v>8574974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2:19" ht="12.75" thickBot="1" x14ac:dyDescent="0.3">
      <c r="B10" s="104" t="s">
        <v>278</v>
      </c>
      <c r="C10" s="104">
        <v>10</v>
      </c>
      <c r="D10" s="103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2:19" ht="12.75" thickBot="1" x14ac:dyDescent="0.3">
      <c r="B11" s="105" t="s">
        <v>279</v>
      </c>
      <c r="C11" s="106">
        <f>(((D4/C4)^(1/10))-1)*100</f>
        <v>1.2066669111011397</v>
      </c>
      <c r="D11" s="107"/>
      <c r="J11" s="102"/>
      <c r="K11" s="102"/>
      <c r="L11" s="102"/>
      <c r="M11" s="102"/>
      <c r="N11" s="102"/>
      <c r="O11" s="102"/>
      <c r="P11" s="102"/>
      <c r="Q11" s="102"/>
      <c r="R11" s="102"/>
      <c r="S11" s="102"/>
    </row>
    <row r="12" spans="2:19" x14ac:dyDescent="0.25">
      <c r="G12" s="108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2:19" ht="12.75" x14ac:dyDescent="0.25">
      <c r="C13" s="109"/>
      <c r="F13" s="157" t="s">
        <v>399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</row>
    <row r="14" spans="2:19" ht="33" customHeight="1" thickBot="1" x14ac:dyDescent="0.3">
      <c r="C14" s="658" t="s">
        <v>1</v>
      </c>
      <c r="D14" s="807" t="s">
        <v>395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2:19" ht="15.75" thickBot="1" x14ac:dyDescent="0.3">
      <c r="B15" s="94">
        <v>0</v>
      </c>
      <c r="C15" s="810">
        <f>2022</f>
        <v>2022</v>
      </c>
      <c r="D15" s="811">
        <f>D9*(1+C11/100)^5</f>
        <v>9104967.9879298285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2:19" x14ac:dyDescent="0.25">
      <c r="B16" s="94">
        <v>1</v>
      </c>
      <c r="C16" s="808">
        <f t="shared" ref="C16:C20" si="0">+C15+1</f>
        <v>2023</v>
      </c>
      <c r="D16" s="809">
        <f>D15*(1+$C$11/100)</f>
        <v>9214834.6239065286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2:19" x14ac:dyDescent="0.25">
      <c r="B17" s="94">
        <v>2</v>
      </c>
      <c r="C17" s="112">
        <f t="shared" si="0"/>
        <v>2024</v>
      </c>
      <c r="D17" s="113">
        <f t="shared" ref="D17:D20" si="1">D16*(1+$C$11/100)</f>
        <v>9326026.984225899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</row>
    <row r="18" spans="2:19" x14ac:dyDescent="0.25">
      <c r="B18" s="94">
        <v>3</v>
      </c>
      <c r="C18" s="112">
        <f t="shared" si="0"/>
        <v>2025</v>
      </c>
      <c r="D18" s="113">
        <f t="shared" si="1"/>
        <v>9438561.0659649167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2:19" x14ac:dyDescent="0.25">
      <c r="B19" s="94">
        <v>4</v>
      </c>
      <c r="C19" s="112">
        <f t="shared" si="0"/>
        <v>2026</v>
      </c>
      <c r="D19" s="113">
        <f t="shared" si="1"/>
        <v>9552453.0592319909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pans="2:19" x14ac:dyDescent="0.25">
      <c r="B20" s="94">
        <v>5</v>
      </c>
      <c r="C20" s="112">
        <f t="shared" si="0"/>
        <v>2027</v>
      </c>
      <c r="D20" s="113">
        <f t="shared" si="1"/>
        <v>9667719.3494962119</v>
      </c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2:19" x14ac:dyDescent="0.25"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2:19" x14ac:dyDescent="0.25"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2:19" ht="12.75" x14ac:dyDescent="0.25">
      <c r="F23" s="796" t="s">
        <v>394</v>
      </c>
      <c r="J23" s="102"/>
      <c r="K23" s="102"/>
      <c r="L23" s="102"/>
      <c r="M23" s="102"/>
      <c r="N23" s="102"/>
      <c r="O23" s="102"/>
      <c r="P23" s="102"/>
      <c r="Q23" s="102"/>
      <c r="R23" s="114"/>
      <c r="S23" s="102"/>
    </row>
    <row r="24" spans="2:19" ht="12.75" thickBot="1" x14ac:dyDescent="0.3">
      <c r="B24" s="115" t="s">
        <v>281</v>
      </c>
      <c r="C24" s="116"/>
      <c r="J24" s="102"/>
      <c r="K24" s="102"/>
      <c r="L24" s="102"/>
      <c r="M24" s="102"/>
      <c r="N24" s="102"/>
      <c r="O24" s="102"/>
      <c r="P24" s="102"/>
      <c r="Q24" s="102"/>
      <c r="R24" s="114"/>
      <c r="S24" s="102"/>
    </row>
    <row r="25" spans="2:19" ht="12" customHeight="1" x14ac:dyDescent="0.25">
      <c r="B25" s="117" t="s">
        <v>291</v>
      </c>
      <c r="C25" s="156" t="s">
        <v>282</v>
      </c>
      <c r="E25" s="668"/>
      <c r="F25" s="668"/>
      <c r="G25" s="118"/>
      <c r="H25" s="118"/>
      <c r="J25" s="102"/>
      <c r="K25" s="102"/>
      <c r="L25" s="102"/>
      <c r="M25" s="102"/>
      <c r="N25" s="102"/>
      <c r="O25" s="102"/>
      <c r="P25" s="102"/>
      <c r="Q25" s="102"/>
      <c r="R25" s="114"/>
      <c r="S25" s="102"/>
    </row>
    <row r="26" spans="2:19" x14ac:dyDescent="0.25">
      <c r="B26" s="158" t="s">
        <v>292</v>
      </c>
      <c r="C26" s="664">
        <v>0.89500000000000002</v>
      </c>
      <c r="E26" s="668"/>
      <c r="F26" s="668"/>
      <c r="J26" s="102"/>
      <c r="K26" s="102"/>
      <c r="L26" s="102"/>
      <c r="M26" s="102"/>
      <c r="N26" s="102"/>
      <c r="O26" s="102"/>
      <c r="P26" s="102"/>
      <c r="Q26" s="102"/>
      <c r="R26" s="114"/>
      <c r="S26" s="102"/>
    </row>
    <row r="27" spans="2:19" ht="12.75" thickBot="1" x14ac:dyDescent="0.3">
      <c r="B27" s="119" t="s">
        <v>393</v>
      </c>
      <c r="C27" s="660">
        <f>100%-C26</f>
        <v>0.10499999999999998</v>
      </c>
      <c r="E27" s="668"/>
      <c r="F27" s="668"/>
      <c r="J27" s="102"/>
      <c r="K27" s="102"/>
      <c r="L27" s="102"/>
      <c r="M27" s="102"/>
      <c r="N27" s="102"/>
      <c r="O27" s="102"/>
      <c r="P27" s="102"/>
      <c r="Q27" s="102"/>
      <c r="R27" s="114"/>
      <c r="S27" s="102"/>
    </row>
    <row r="28" spans="2:19" ht="12" hidden="1" customHeight="1" x14ac:dyDescent="0.25">
      <c r="B28" s="120" t="s">
        <v>283</v>
      </c>
      <c r="C28" s="661">
        <v>0</v>
      </c>
      <c r="E28" s="668"/>
      <c r="F28" s="668"/>
      <c r="J28" s="102"/>
      <c r="K28" s="102"/>
      <c r="L28" s="102"/>
      <c r="M28" s="102"/>
      <c r="N28" s="102"/>
      <c r="O28" s="102"/>
      <c r="P28" s="102"/>
      <c r="Q28" s="102"/>
      <c r="R28" s="114"/>
      <c r="S28" s="102"/>
    </row>
    <row r="29" spans="2:19" ht="12" hidden="1" customHeight="1" x14ac:dyDescent="0.25">
      <c r="B29" s="121" t="s">
        <v>283</v>
      </c>
      <c r="C29" s="662">
        <v>0</v>
      </c>
      <c r="E29" s="668"/>
      <c r="F29" s="668"/>
      <c r="J29" s="102"/>
      <c r="K29" s="102"/>
      <c r="L29" s="102"/>
      <c r="M29" s="102"/>
      <c r="N29" s="102"/>
      <c r="O29" s="102"/>
      <c r="P29" s="102"/>
      <c r="Q29" s="102"/>
      <c r="R29" s="114"/>
      <c r="S29" s="102"/>
    </row>
    <row r="30" spans="2:19" x14ac:dyDescent="0.25">
      <c r="B30" s="122" t="s">
        <v>27</v>
      </c>
      <c r="C30" s="663">
        <f>SUM(C26:C29)</f>
        <v>1</v>
      </c>
      <c r="E30" s="668"/>
      <c r="F30" s="668"/>
      <c r="J30" s="102"/>
      <c r="K30" s="102"/>
      <c r="L30" s="102"/>
      <c r="M30" s="102"/>
      <c r="N30" s="102"/>
      <c r="O30" s="102"/>
      <c r="P30" s="102"/>
      <c r="Q30" s="102"/>
      <c r="R30" s="114"/>
      <c r="S30" s="102"/>
    </row>
    <row r="31" spans="2:19" x14ac:dyDescent="0.25">
      <c r="J31" s="102"/>
      <c r="K31" s="102"/>
      <c r="L31" s="102"/>
      <c r="M31" s="102"/>
      <c r="N31" s="102"/>
      <c r="O31" s="102"/>
      <c r="P31" s="102"/>
      <c r="Q31" s="102"/>
      <c r="R31" s="114"/>
      <c r="S31" s="102"/>
    </row>
    <row r="32" spans="2:19" ht="12.75" thickBot="1" x14ac:dyDescent="0.3">
      <c r="J32" s="102"/>
      <c r="K32" s="102"/>
      <c r="L32" s="102"/>
      <c r="M32" s="102"/>
      <c r="N32" s="102"/>
      <c r="O32" s="102"/>
      <c r="P32" s="102"/>
      <c r="Q32" s="102"/>
      <c r="R32" s="114"/>
      <c r="S32" s="102"/>
    </row>
    <row r="33" spans="2:23" ht="12.75" thickBot="1" x14ac:dyDescent="0.3">
      <c r="B33" s="125" t="s">
        <v>284</v>
      </c>
      <c r="C33" s="148" t="s">
        <v>288</v>
      </c>
      <c r="D33" s="149">
        <v>5.0999999999999996</v>
      </c>
      <c r="E33" s="94" t="s">
        <v>289</v>
      </c>
      <c r="J33" s="102"/>
      <c r="K33" s="102"/>
      <c r="L33" s="102"/>
      <c r="M33" s="102"/>
      <c r="N33" s="123"/>
      <c r="O33" s="102"/>
      <c r="P33" s="102"/>
      <c r="Q33" s="102"/>
      <c r="R33" s="114"/>
      <c r="S33" s="102"/>
      <c r="T33" s="124"/>
      <c r="U33" s="124"/>
      <c r="V33" s="124"/>
      <c r="W33" s="124"/>
    </row>
    <row r="34" spans="2:23" x14ac:dyDescent="0.25">
      <c r="C34" s="669" t="s">
        <v>294</v>
      </c>
      <c r="D34" s="669"/>
      <c r="F34" s="126"/>
      <c r="G34" s="124"/>
      <c r="H34" s="124"/>
      <c r="J34" s="102"/>
      <c r="K34" s="102"/>
      <c r="L34" s="102"/>
      <c r="M34" s="102"/>
      <c r="N34" s="102"/>
      <c r="O34" s="114"/>
      <c r="P34" s="102"/>
      <c r="Q34" s="102"/>
      <c r="R34" s="114"/>
      <c r="S34" s="102"/>
      <c r="T34" s="124"/>
      <c r="U34" s="124"/>
      <c r="V34" s="124"/>
      <c r="W34" s="124"/>
    </row>
    <row r="35" spans="2:23" x14ac:dyDescent="0.25">
      <c r="F35" s="126"/>
      <c r="G35" s="126"/>
      <c r="H35" s="124"/>
      <c r="J35" s="102"/>
      <c r="K35" s="102"/>
      <c r="L35" s="102"/>
      <c r="M35" s="102"/>
      <c r="N35" s="102"/>
      <c r="O35" s="102"/>
      <c r="P35" s="102"/>
      <c r="Q35" s="102"/>
      <c r="R35" s="114"/>
      <c r="S35" s="102"/>
      <c r="T35" s="124"/>
      <c r="U35" s="124"/>
      <c r="V35" s="124"/>
      <c r="W35" s="124"/>
    </row>
    <row r="36" spans="2:23" ht="15.75" customHeight="1" thickBot="1" x14ac:dyDescent="0.3">
      <c r="C36" s="127"/>
      <c r="D36" s="128"/>
      <c r="E36" s="304"/>
      <c r="G36" s="129"/>
      <c r="H36" s="124"/>
      <c r="J36" s="102"/>
      <c r="K36" s="102"/>
      <c r="L36" s="102"/>
      <c r="M36" s="102"/>
      <c r="N36" s="102"/>
      <c r="O36" s="102"/>
      <c r="P36" s="102"/>
      <c r="Q36" s="102"/>
      <c r="R36" s="114"/>
      <c r="S36" s="102"/>
      <c r="T36" s="124"/>
      <c r="U36" s="124"/>
      <c r="V36" s="124"/>
      <c r="W36" s="124"/>
    </row>
    <row r="37" spans="2:23" s="101" customFormat="1" ht="53.25" customHeight="1" x14ac:dyDescent="0.25">
      <c r="C37" s="110" t="s">
        <v>285</v>
      </c>
      <c r="D37" s="797" t="s">
        <v>286</v>
      </c>
      <c r="E37" s="803" t="s">
        <v>287</v>
      </c>
      <c r="F37" s="800" t="s">
        <v>293</v>
      </c>
      <c r="G37" s="130"/>
      <c r="K37" s="102"/>
      <c r="L37" s="102"/>
      <c r="M37" s="102"/>
      <c r="N37" s="102"/>
      <c r="O37" s="102"/>
      <c r="P37" s="102"/>
      <c r="Q37" s="102"/>
      <c r="R37" s="102"/>
      <c r="S37" s="102"/>
      <c r="T37" s="131"/>
      <c r="U37" s="132"/>
      <c r="V37" s="132"/>
      <c r="W37" s="133"/>
    </row>
    <row r="38" spans="2:23" x14ac:dyDescent="0.25">
      <c r="C38" s="138">
        <f t="shared" ref="C38:C43" si="2">C15</f>
        <v>2022</v>
      </c>
      <c r="D38" s="798">
        <f>+D15</f>
        <v>9104967.9879298285</v>
      </c>
      <c r="E38" s="804">
        <f t="shared" ref="E38:E43" si="3">D38*$C$26</f>
        <v>8148946.3491971968</v>
      </c>
      <c r="F38" s="801">
        <f t="shared" ref="F38:F43" si="4">E38*$D$33/1000</f>
        <v>41559.626380905705</v>
      </c>
      <c r="G38" s="129"/>
      <c r="K38" s="114"/>
      <c r="L38" s="124"/>
      <c r="M38" s="124"/>
      <c r="N38" s="102"/>
      <c r="O38" s="139"/>
      <c r="P38" s="139"/>
      <c r="Q38" s="139"/>
      <c r="R38" s="139"/>
      <c r="S38" s="102"/>
      <c r="T38" s="124"/>
      <c r="U38" s="136"/>
      <c r="V38" s="136"/>
      <c r="W38" s="137"/>
    </row>
    <row r="39" spans="2:23" x14ac:dyDescent="0.25">
      <c r="B39" s="94">
        <v>1</v>
      </c>
      <c r="C39" s="134">
        <f t="shared" si="2"/>
        <v>2023</v>
      </c>
      <c r="D39" s="799">
        <f>+D16</f>
        <v>9214834.6239065286</v>
      </c>
      <c r="E39" s="805">
        <f t="shared" si="3"/>
        <v>8247276.9883963428</v>
      </c>
      <c r="F39" s="802">
        <f t="shared" si="4"/>
        <v>42061.112640821346</v>
      </c>
      <c r="G39" s="129"/>
      <c r="K39" s="102"/>
      <c r="L39" s="135"/>
      <c r="M39" s="135"/>
      <c r="N39" s="102"/>
      <c r="O39" s="140"/>
      <c r="P39" s="141"/>
      <c r="Q39" s="141"/>
      <c r="R39" s="140"/>
      <c r="S39" s="102"/>
      <c r="T39" s="124"/>
      <c r="U39" s="136"/>
      <c r="V39" s="136"/>
      <c r="W39" s="137"/>
    </row>
    <row r="40" spans="2:23" x14ac:dyDescent="0.25">
      <c r="B40" s="94">
        <v>2</v>
      </c>
      <c r="C40" s="134">
        <f t="shared" si="2"/>
        <v>2024</v>
      </c>
      <c r="D40" s="799">
        <f t="shared" ref="D40:D43" si="5">+D17</f>
        <v>9326026.984225899</v>
      </c>
      <c r="E40" s="805">
        <f t="shared" si="3"/>
        <v>8346794.1508821798</v>
      </c>
      <c r="F40" s="802">
        <f t="shared" si="4"/>
        <v>42568.650169499117</v>
      </c>
      <c r="G40" s="129"/>
      <c r="K40" s="102"/>
      <c r="L40" s="124"/>
      <c r="M40" s="142"/>
      <c r="N40" s="102"/>
      <c r="O40" s="140"/>
      <c r="P40" s="141"/>
      <c r="Q40" s="141"/>
      <c r="R40" s="140"/>
      <c r="S40" s="102"/>
      <c r="T40" s="124"/>
      <c r="U40" s="136"/>
      <c r="V40" s="136"/>
      <c r="W40" s="137"/>
    </row>
    <row r="41" spans="2:23" x14ac:dyDescent="0.25">
      <c r="B41" s="94">
        <v>3</v>
      </c>
      <c r="C41" s="134">
        <f t="shared" si="2"/>
        <v>2025</v>
      </c>
      <c r="D41" s="799">
        <f t="shared" si="5"/>
        <v>9438561.0659649167</v>
      </c>
      <c r="E41" s="805">
        <f t="shared" si="3"/>
        <v>8447512.1540386006</v>
      </c>
      <c r="F41" s="802">
        <f t="shared" si="4"/>
        <v>43082.311985596854</v>
      </c>
      <c r="G41" s="143"/>
      <c r="K41" s="102"/>
      <c r="L41" s="102"/>
      <c r="M41" s="102"/>
      <c r="N41" s="102"/>
      <c r="O41" s="140"/>
      <c r="P41" s="141"/>
      <c r="Q41" s="141"/>
      <c r="R41" s="140"/>
      <c r="S41" s="102"/>
      <c r="T41" s="124"/>
      <c r="U41" s="136"/>
      <c r="V41" s="136"/>
      <c r="W41" s="137"/>
    </row>
    <row r="42" spans="2:23" x14ac:dyDescent="0.25">
      <c r="B42" s="94">
        <v>4</v>
      </c>
      <c r="C42" s="134">
        <f t="shared" si="2"/>
        <v>2026</v>
      </c>
      <c r="D42" s="799">
        <f t="shared" si="5"/>
        <v>9552453.0592319909</v>
      </c>
      <c r="E42" s="805">
        <f t="shared" si="3"/>
        <v>8549445.4880126324</v>
      </c>
      <c r="F42" s="802">
        <f t="shared" si="4"/>
        <v>43602.171988864422</v>
      </c>
      <c r="G42" s="143"/>
      <c r="K42" s="139"/>
      <c r="L42" s="135"/>
      <c r="M42" s="135"/>
      <c r="N42" s="135"/>
      <c r="O42" s="140"/>
      <c r="P42" s="141"/>
      <c r="Q42" s="141"/>
      <c r="R42" s="140"/>
      <c r="S42" s="102"/>
      <c r="T42" s="124"/>
      <c r="U42" s="124"/>
      <c r="V42" s="124"/>
      <c r="W42" s="124"/>
    </row>
    <row r="43" spans="2:23" ht="12.75" thickBot="1" x14ac:dyDescent="0.3">
      <c r="B43" s="94">
        <v>5</v>
      </c>
      <c r="C43" s="134">
        <f t="shared" si="2"/>
        <v>2027</v>
      </c>
      <c r="D43" s="799">
        <f t="shared" si="5"/>
        <v>9667719.3494962119</v>
      </c>
      <c r="E43" s="806">
        <f t="shared" si="3"/>
        <v>8652608.81779911</v>
      </c>
      <c r="F43" s="802">
        <f t="shared" si="4"/>
        <v>44128.304970775454</v>
      </c>
      <c r="K43" s="139"/>
      <c r="L43" s="135"/>
      <c r="M43" s="135"/>
      <c r="N43" s="135"/>
      <c r="O43" s="140"/>
      <c r="P43" s="141"/>
      <c r="Q43" s="141"/>
      <c r="R43" s="140"/>
      <c r="S43" s="102"/>
      <c r="T43" s="124"/>
      <c r="U43" s="124"/>
    </row>
    <row r="44" spans="2:23" x14ac:dyDescent="0.25">
      <c r="C44" s="144"/>
      <c r="D44" s="145"/>
      <c r="E44" s="145"/>
      <c r="F44" s="146"/>
      <c r="K44" s="135"/>
      <c r="L44" s="135"/>
      <c r="M44" s="135"/>
      <c r="N44" s="135"/>
      <c r="O44" s="147"/>
      <c r="P44" s="147"/>
      <c r="Q44" s="147"/>
      <c r="R44" s="147"/>
      <c r="S44" s="135"/>
      <c r="T44" s="124"/>
      <c r="U44" s="124"/>
    </row>
    <row r="45" spans="2:23" x14ac:dyDescent="0.25">
      <c r="J45" s="94"/>
      <c r="K45" s="124"/>
      <c r="L45" s="135"/>
      <c r="M45" s="135"/>
      <c r="N45" s="135"/>
      <c r="O45" s="124"/>
      <c r="P45" s="142"/>
      <c r="Q45" s="142"/>
      <c r="R45" s="124"/>
      <c r="S45" s="124"/>
      <c r="T45" s="124"/>
      <c r="U45" s="124"/>
    </row>
    <row r="46" spans="2:23" ht="30" customHeight="1" x14ac:dyDescent="0.25">
      <c r="J46" s="94"/>
      <c r="K46" s="124"/>
      <c r="L46" s="135"/>
      <c r="M46" s="135"/>
      <c r="N46" s="135"/>
      <c r="O46" s="124"/>
      <c r="P46" s="142"/>
      <c r="Q46" s="142"/>
      <c r="R46" s="124"/>
      <c r="S46" s="124"/>
      <c r="T46" s="124"/>
      <c r="U46" s="124"/>
    </row>
    <row r="47" spans="2:23" x14ac:dyDescent="0.25">
      <c r="B47" s="151"/>
      <c r="C47" s="151"/>
      <c r="G47" s="152"/>
      <c r="J47" s="94"/>
      <c r="K47" s="94"/>
      <c r="L47" s="94"/>
      <c r="M47" s="94"/>
      <c r="N47" s="94"/>
      <c r="O47" s="94"/>
      <c r="P47" s="94"/>
      <c r="Q47" s="94"/>
      <c r="R47" s="124"/>
      <c r="S47" s="124"/>
      <c r="T47" s="135"/>
      <c r="U47" s="124"/>
    </row>
    <row r="48" spans="2:23" x14ac:dyDescent="0.25">
      <c r="B48" s="151"/>
      <c r="C48" s="151"/>
      <c r="G48" s="152"/>
      <c r="J48" s="94"/>
      <c r="K48" s="94"/>
      <c r="L48" s="94"/>
      <c r="M48" s="94"/>
      <c r="N48" s="94"/>
      <c r="O48" s="94"/>
      <c r="P48" s="94"/>
      <c r="Q48" s="94"/>
      <c r="R48" s="124"/>
      <c r="S48" s="124"/>
      <c r="T48" s="135"/>
      <c r="U48" s="142"/>
    </row>
    <row r="49" spans="2:21" x14ac:dyDescent="0.25">
      <c r="B49" s="151"/>
      <c r="C49" s="151"/>
      <c r="G49" s="152"/>
      <c r="J49" s="94"/>
      <c r="K49" s="94"/>
      <c r="L49" s="94"/>
      <c r="M49" s="94"/>
      <c r="N49" s="94"/>
      <c r="O49" s="94"/>
      <c r="P49" s="94"/>
      <c r="Q49" s="94"/>
      <c r="R49" s="124"/>
      <c r="S49" s="124"/>
      <c r="T49" s="124"/>
      <c r="U49" s="124"/>
    </row>
    <row r="50" spans="2:21" x14ac:dyDescent="0.25">
      <c r="B50" s="151"/>
      <c r="C50" s="151"/>
      <c r="G50" s="152"/>
      <c r="J50" s="94"/>
      <c r="K50" s="94"/>
      <c r="L50" s="94"/>
      <c r="M50" s="94"/>
      <c r="N50" s="94"/>
      <c r="O50" s="94"/>
      <c r="P50" s="94"/>
      <c r="Q50" s="94"/>
      <c r="R50" s="124"/>
      <c r="S50" s="124"/>
      <c r="T50" s="124"/>
      <c r="U50" s="124"/>
    </row>
    <row r="51" spans="2:21" x14ac:dyDescent="0.25">
      <c r="B51" s="151"/>
      <c r="C51" s="151"/>
      <c r="G51" s="152"/>
      <c r="J51" s="94"/>
      <c r="K51" s="94"/>
      <c r="L51" s="94"/>
      <c r="M51" s="94"/>
      <c r="N51" s="94"/>
      <c r="O51" s="94"/>
      <c r="P51" s="94"/>
      <c r="Q51" s="94"/>
      <c r="R51" s="124"/>
      <c r="S51" s="124"/>
      <c r="T51" s="124"/>
      <c r="U51" s="124"/>
    </row>
    <row r="52" spans="2:21" x14ac:dyDescent="0.25">
      <c r="B52" s="151"/>
      <c r="C52" s="151"/>
      <c r="G52" s="152"/>
      <c r="J52" s="94"/>
      <c r="K52" s="94"/>
      <c r="L52" s="94"/>
      <c r="M52" s="94"/>
      <c r="N52" s="94"/>
      <c r="O52" s="94"/>
      <c r="P52" s="94"/>
      <c r="Q52" s="94"/>
      <c r="R52" s="124"/>
      <c r="S52" s="153"/>
      <c r="T52" s="124"/>
      <c r="U52" s="124"/>
    </row>
    <row r="53" spans="2:21" x14ac:dyDescent="0.25">
      <c r="C53" s="151"/>
      <c r="E53" s="15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2:21" ht="31.5" customHeight="1" x14ac:dyDescent="0.25">
      <c r="C54" s="151"/>
    </row>
    <row r="55" spans="2:21" x14ac:dyDescent="0.25">
      <c r="B55" s="151"/>
      <c r="C55" s="151"/>
      <c r="G55" s="152"/>
    </row>
    <row r="56" spans="2:21" x14ac:dyDescent="0.25">
      <c r="C56" s="151"/>
    </row>
    <row r="57" spans="2:21" x14ac:dyDescent="0.25">
      <c r="C57" s="151"/>
    </row>
    <row r="58" spans="2:21" x14ac:dyDescent="0.25">
      <c r="C58" s="151"/>
    </row>
    <row r="59" spans="2:21" x14ac:dyDescent="0.25">
      <c r="C59" s="151"/>
    </row>
    <row r="60" spans="2:21" x14ac:dyDescent="0.25">
      <c r="C60" s="151"/>
    </row>
    <row r="61" spans="2:21" x14ac:dyDescent="0.25">
      <c r="C61" s="151"/>
    </row>
    <row r="62" spans="2:21" x14ac:dyDescent="0.25">
      <c r="C62" s="151"/>
    </row>
    <row r="63" spans="2:21" x14ac:dyDescent="0.25">
      <c r="C63" s="151"/>
    </row>
    <row r="64" spans="2:21" x14ac:dyDescent="0.25">
      <c r="C64" s="151"/>
    </row>
    <row r="65" spans="3:3" x14ac:dyDescent="0.25">
      <c r="C65" s="151"/>
    </row>
    <row r="66" spans="3:3" x14ac:dyDescent="0.25">
      <c r="C66" s="151"/>
    </row>
    <row r="67" spans="3:3" x14ac:dyDescent="0.25">
      <c r="C67" s="151"/>
    </row>
    <row r="68" spans="3:3" x14ac:dyDescent="0.25">
      <c r="C68" s="151"/>
    </row>
    <row r="69" spans="3:3" x14ac:dyDescent="0.25">
      <c r="C69" s="151"/>
    </row>
    <row r="70" spans="3:3" x14ac:dyDescent="0.25">
      <c r="C70" s="151"/>
    </row>
  </sheetData>
  <mergeCells count="6">
    <mergeCell ref="E25:F30"/>
    <mergeCell ref="C34:D34"/>
    <mergeCell ref="B2:B3"/>
    <mergeCell ref="C2:D2"/>
    <mergeCell ref="B7:B8"/>
    <mergeCell ref="C7:D7"/>
  </mergeCells>
  <hyperlinks>
    <hyperlink ref="F23"/>
  </hyperlinks>
  <pageMargins left="0.7" right="0.7" top="0.75" bottom="0.75" header="0.3" footer="0.3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="110" zoomScaleNormal="110" zoomScaleSheetLayoutView="100" workbookViewId="0">
      <selection activeCell="G11" sqref="G11"/>
    </sheetView>
  </sheetViews>
  <sheetFormatPr baseColWidth="10" defaultRowHeight="11.25" x14ac:dyDescent="0.2"/>
  <cols>
    <col min="1" max="1" width="5.5703125" style="243" customWidth="1"/>
    <col min="2" max="2" width="28" style="243" bestFit="1" customWidth="1"/>
    <col min="3" max="3" width="14.85546875" style="243" customWidth="1"/>
    <col min="4" max="4" width="14.140625" style="256" customWidth="1"/>
    <col min="5" max="5" width="13.42578125" style="256" customWidth="1"/>
    <col min="6" max="6" width="7.28515625" style="241" customWidth="1"/>
    <col min="7" max="8" width="7" style="241" customWidth="1"/>
    <col min="9" max="9" width="6.85546875" style="241" customWidth="1"/>
    <col min="10" max="10" width="6.5703125" style="241" customWidth="1"/>
    <col min="11" max="13" width="11.42578125" style="242"/>
    <col min="14" max="258" width="11.42578125" style="243"/>
    <col min="259" max="259" width="14.85546875" style="243" customWidth="1"/>
    <col min="260" max="260" width="14.140625" style="243" customWidth="1"/>
    <col min="261" max="261" width="13.42578125" style="243" customWidth="1"/>
    <col min="262" max="262" width="7.28515625" style="243" customWidth="1"/>
    <col min="263" max="264" width="7" style="243" customWidth="1"/>
    <col min="265" max="265" width="6.85546875" style="243" customWidth="1"/>
    <col min="266" max="266" width="6.5703125" style="243" customWidth="1"/>
    <col min="267" max="514" width="11.42578125" style="243"/>
    <col min="515" max="515" width="14.85546875" style="243" customWidth="1"/>
    <col min="516" max="516" width="14.140625" style="243" customWidth="1"/>
    <col min="517" max="517" width="13.42578125" style="243" customWidth="1"/>
    <col min="518" max="518" width="7.28515625" style="243" customWidth="1"/>
    <col min="519" max="520" width="7" style="243" customWidth="1"/>
    <col min="521" max="521" width="6.85546875" style="243" customWidth="1"/>
    <col min="522" max="522" width="6.5703125" style="243" customWidth="1"/>
    <col min="523" max="770" width="11.42578125" style="243"/>
    <col min="771" max="771" width="14.85546875" style="243" customWidth="1"/>
    <col min="772" max="772" width="14.140625" style="243" customWidth="1"/>
    <col min="773" max="773" width="13.42578125" style="243" customWidth="1"/>
    <col min="774" max="774" width="7.28515625" style="243" customWidth="1"/>
    <col min="775" max="776" width="7" style="243" customWidth="1"/>
    <col min="777" max="777" width="6.85546875" style="243" customWidth="1"/>
    <col min="778" max="778" width="6.5703125" style="243" customWidth="1"/>
    <col min="779" max="1026" width="11.42578125" style="243"/>
    <col min="1027" max="1027" width="14.85546875" style="243" customWidth="1"/>
    <col min="1028" max="1028" width="14.140625" style="243" customWidth="1"/>
    <col min="1029" max="1029" width="13.42578125" style="243" customWidth="1"/>
    <col min="1030" max="1030" width="7.28515625" style="243" customWidth="1"/>
    <col min="1031" max="1032" width="7" style="243" customWidth="1"/>
    <col min="1033" max="1033" width="6.85546875" style="243" customWidth="1"/>
    <col min="1034" max="1034" width="6.5703125" style="243" customWidth="1"/>
    <col min="1035" max="1282" width="11.42578125" style="243"/>
    <col min="1283" max="1283" width="14.85546875" style="243" customWidth="1"/>
    <col min="1284" max="1284" width="14.140625" style="243" customWidth="1"/>
    <col min="1285" max="1285" width="13.42578125" style="243" customWidth="1"/>
    <col min="1286" max="1286" width="7.28515625" style="243" customWidth="1"/>
    <col min="1287" max="1288" width="7" style="243" customWidth="1"/>
    <col min="1289" max="1289" width="6.85546875" style="243" customWidth="1"/>
    <col min="1290" max="1290" width="6.5703125" style="243" customWidth="1"/>
    <col min="1291" max="1538" width="11.42578125" style="243"/>
    <col min="1539" max="1539" width="14.85546875" style="243" customWidth="1"/>
    <col min="1540" max="1540" width="14.140625" style="243" customWidth="1"/>
    <col min="1541" max="1541" width="13.42578125" style="243" customWidth="1"/>
    <col min="1542" max="1542" width="7.28515625" style="243" customWidth="1"/>
    <col min="1543" max="1544" width="7" style="243" customWidth="1"/>
    <col min="1545" max="1545" width="6.85546875" style="243" customWidth="1"/>
    <col min="1546" max="1546" width="6.5703125" style="243" customWidth="1"/>
    <col min="1547" max="1794" width="11.42578125" style="243"/>
    <col min="1795" max="1795" width="14.85546875" style="243" customWidth="1"/>
    <col min="1796" max="1796" width="14.140625" style="243" customWidth="1"/>
    <col min="1797" max="1797" width="13.42578125" style="243" customWidth="1"/>
    <col min="1798" max="1798" width="7.28515625" style="243" customWidth="1"/>
    <col min="1799" max="1800" width="7" style="243" customWidth="1"/>
    <col min="1801" max="1801" width="6.85546875" style="243" customWidth="1"/>
    <col min="1802" max="1802" width="6.5703125" style="243" customWidth="1"/>
    <col min="1803" max="2050" width="11.42578125" style="243"/>
    <col min="2051" max="2051" width="14.85546875" style="243" customWidth="1"/>
    <col min="2052" max="2052" width="14.140625" style="243" customWidth="1"/>
    <col min="2053" max="2053" width="13.42578125" style="243" customWidth="1"/>
    <col min="2054" max="2054" width="7.28515625" style="243" customWidth="1"/>
    <col min="2055" max="2056" width="7" style="243" customWidth="1"/>
    <col min="2057" max="2057" width="6.85546875" style="243" customWidth="1"/>
    <col min="2058" max="2058" width="6.5703125" style="243" customWidth="1"/>
    <col min="2059" max="2306" width="11.42578125" style="243"/>
    <col min="2307" max="2307" width="14.85546875" style="243" customWidth="1"/>
    <col min="2308" max="2308" width="14.140625" style="243" customWidth="1"/>
    <col min="2309" max="2309" width="13.42578125" style="243" customWidth="1"/>
    <col min="2310" max="2310" width="7.28515625" style="243" customWidth="1"/>
    <col min="2311" max="2312" width="7" style="243" customWidth="1"/>
    <col min="2313" max="2313" width="6.85546875" style="243" customWidth="1"/>
    <col min="2314" max="2314" width="6.5703125" style="243" customWidth="1"/>
    <col min="2315" max="2562" width="11.42578125" style="243"/>
    <col min="2563" max="2563" width="14.85546875" style="243" customWidth="1"/>
    <col min="2564" max="2564" width="14.140625" style="243" customWidth="1"/>
    <col min="2565" max="2565" width="13.42578125" style="243" customWidth="1"/>
    <col min="2566" max="2566" width="7.28515625" style="243" customWidth="1"/>
    <col min="2567" max="2568" width="7" style="243" customWidth="1"/>
    <col min="2569" max="2569" width="6.85546875" style="243" customWidth="1"/>
    <col min="2570" max="2570" width="6.5703125" style="243" customWidth="1"/>
    <col min="2571" max="2818" width="11.42578125" style="243"/>
    <col min="2819" max="2819" width="14.85546875" style="243" customWidth="1"/>
    <col min="2820" max="2820" width="14.140625" style="243" customWidth="1"/>
    <col min="2821" max="2821" width="13.42578125" style="243" customWidth="1"/>
    <col min="2822" max="2822" width="7.28515625" style="243" customWidth="1"/>
    <col min="2823" max="2824" width="7" style="243" customWidth="1"/>
    <col min="2825" max="2825" width="6.85546875" style="243" customWidth="1"/>
    <col min="2826" max="2826" width="6.5703125" style="243" customWidth="1"/>
    <col min="2827" max="3074" width="11.42578125" style="243"/>
    <col min="3075" max="3075" width="14.85546875" style="243" customWidth="1"/>
    <col min="3076" max="3076" width="14.140625" style="243" customWidth="1"/>
    <col min="3077" max="3077" width="13.42578125" style="243" customWidth="1"/>
    <col min="3078" max="3078" width="7.28515625" style="243" customWidth="1"/>
    <col min="3079" max="3080" width="7" style="243" customWidth="1"/>
    <col min="3081" max="3081" width="6.85546875" style="243" customWidth="1"/>
    <col min="3082" max="3082" width="6.5703125" style="243" customWidth="1"/>
    <col min="3083" max="3330" width="11.42578125" style="243"/>
    <col min="3331" max="3331" width="14.85546875" style="243" customWidth="1"/>
    <col min="3332" max="3332" width="14.140625" style="243" customWidth="1"/>
    <col min="3333" max="3333" width="13.42578125" style="243" customWidth="1"/>
    <col min="3334" max="3334" width="7.28515625" style="243" customWidth="1"/>
    <col min="3335" max="3336" width="7" style="243" customWidth="1"/>
    <col min="3337" max="3337" width="6.85546875" style="243" customWidth="1"/>
    <col min="3338" max="3338" width="6.5703125" style="243" customWidth="1"/>
    <col min="3339" max="3586" width="11.42578125" style="243"/>
    <col min="3587" max="3587" width="14.85546875" style="243" customWidth="1"/>
    <col min="3588" max="3588" width="14.140625" style="243" customWidth="1"/>
    <col min="3589" max="3589" width="13.42578125" style="243" customWidth="1"/>
    <col min="3590" max="3590" width="7.28515625" style="243" customWidth="1"/>
    <col min="3591" max="3592" width="7" style="243" customWidth="1"/>
    <col min="3593" max="3593" width="6.85546875" style="243" customWidth="1"/>
    <col min="3594" max="3594" width="6.5703125" style="243" customWidth="1"/>
    <col min="3595" max="3842" width="11.42578125" style="243"/>
    <col min="3843" max="3843" width="14.85546875" style="243" customWidth="1"/>
    <col min="3844" max="3844" width="14.140625" style="243" customWidth="1"/>
    <col min="3845" max="3845" width="13.42578125" style="243" customWidth="1"/>
    <col min="3846" max="3846" width="7.28515625" style="243" customWidth="1"/>
    <col min="3847" max="3848" width="7" style="243" customWidth="1"/>
    <col min="3849" max="3849" width="6.85546875" style="243" customWidth="1"/>
    <col min="3850" max="3850" width="6.5703125" style="243" customWidth="1"/>
    <col min="3851" max="4098" width="11.42578125" style="243"/>
    <col min="4099" max="4099" width="14.85546875" style="243" customWidth="1"/>
    <col min="4100" max="4100" width="14.140625" style="243" customWidth="1"/>
    <col min="4101" max="4101" width="13.42578125" style="243" customWidth="1"/>
    <col min="4102" max="4102" width="7.28515625" style="243" customWidth="1"/>
    <col min="4103" max="4104" width="7" style="243" customWidth="1"/>
    <col min="4105" max="4105" width="6.85546875" style="243" customWidth="1"/>
    <col min="4106" max="4106" width="6.5703125" style="243" customWidth="1"/>
    <col min="4107" max="4354" width="11.42578125" style="243"/>
    <col min="4355" max="4355" width="14.85546875" style="243" customWidth="1"/>
    <col min="4356" max="4356" width="14.140625" style="243" customWidth="1"/>
    <col min="4357" max="4357" width="13.42578125" style="243" customWidth="1"/>
    <col min="4358" max="4358" width="7.28515625" style="243" customWidth="1"/>
    <col min="4359" max="4360" width="7" style="243" customWidth="1"/>
    <col min="4361" max="4361" width="6.85546875" style="243" customWidth="1"/>
    <col min="4362" max="4362" width="6.5703125" style="243" customWidth="1"/>
    <col min="4363" max="4610" width="11.42578125" style="243"/>
    <col min="4611" max="4611" width="14.85546875" style="243" customWidth="1"/>
    <col min="4612" max="4612" width="14.140625" style="243" customWidth="1"/>
    <col min="4613" max="4613" width="13.42578125" style="243" customWidth="1"/>
    <col min="4614" max="4614" width="7.28515625" style="243" customWidth="1"/>
    <col min="4615" max="4616" width="7" style="243" customWidth="1"/>
    <col min="4617" max="4617" width="6.85546875" style="243" customWidth="1"/>
    <col min="4618" max="4618" width="6.5703125" style="243" customWidth="1"/>
    <col min="4619" max="4866" width="11.42578125" style="243"/>
    <col min="4867" max="4867" width="14.85546875" style="243" customWidth="1"/>
    <col min="4868" max="4868" width="14.140625" style="243" customWidth="1"/>
    <col min="4869" max="4869" width="13.42578125" style="243" customWidth="1"/>
    <col min="4870" max="4870" width="7.28515625" style="243" customWidth="1"/>
    <col min="4871" max="4872" width="7" style="243" customWidth="1"/>
    <col min="4873" max="4873" width="6.85546875" style="243" customWidth="1"/>
    <col min="4874" max="4874" width="6.5703125" style="243" customWidth="1"/>
    <col min="4875" max="5122" width="11.42578125" style="243"/>
    <col min="5123" max="5123" width="14.85546875" style="243" customWidth="1"/>
    <col min="5124" max="5124" width="14.140625" style="243" customWidth="1"/>
    <col min="5125" max="5125" width="13.42578125" style="243" customWidth="1"/>
    <col min="5126" max="5126" width="7.28515625" style="243" customWidth="1"/>
    <col min="5127" max="5128" width="7" style="243" customWidth="1"/>
    <col min="5129" max="5129" width="6.85546875" style="243" customWidth="1"/>
    <col min="5130" max="5130" width="6.5703125" style="243" customWidth="1"/>
    <col min="5131" max="5378" width="11.42578125" style="243"/>
    <col min="5379" max="5379" width="14.85546875" style="243" customWidth="1"/>
    <col min="5380" max="5380" width="14.140625" style="243" customWidth="1"/>
    <col min="5381" max="5381" width="13.42578125" style="243" customWidth="1"/>
    <col min="5382" max="5382" width="7.28515625" style="243" customWidth="1"/>
    <col min="5383" max="5384" width="7" style="243" customWidth="1"/>
    <col min="5385" max="5385" width="6.85546875" style="243" customWidth="1"/>
    <col min="5386" max="5386" width="6.5703125" style="243" customWidth="1"/>
    <col min="5387" max="5634" width="11.42578125" style="243"/>
    <col min="5635" max="5635" width="14.85546875" style="243" customWidth="1"/>
    <col min="5636" max="5636" width="14.140625" style="243" customWidth="1"/>
    <col min="5637" max="5637" width="13.42578125" style="243" customWidth="1"/>
    <col min="5638" max="5638" width="7.28515625" style="243" customWidth="1"/>
    <col min="5639" max="5640" width="7" style="243" customWidth="1"/>
    <col min="5641" max="5641" width="6.85546875" style="243" customWidth="1"/>
    <col min="5642" max="5642" width="6.5703125" style="243" customWidth="1"/>
    <col min="5643" max="5890" width="11.42578125" style="243"/>
    <col min="5891" max="5891" width="14.85546875" style="243" customWidth="1"/>
    <col min="5892" max="5892" width="14.140625" style="243" customWidth="1"/>
    <col min="5893" max="5893" width="13.42578125" style="243" customWidth="1"/>
    <col min="5894" max="5894" width="7.28515625" style="243" customWidth="1"/>
    <col min="5895" max="5896" width="7" style="243" customWidth="1"/>
    <col min="5897" max="5897" width="6.85546875" style="243" customWidth="1"/>
    <col min="5898" max="5898" width="6.5703125" style="243" customWidth="1"/>
    <col min="5899" max="6146" width="11.42578125" style="243"/>
    <col min="6147" max="6147" width="14.85546875" style="243" customWidth="1"/>
    <col min="6148" max="6148" width="14.140625" style="243" customWidth="1"/>
    <col min="6149" max="6149" width="13.42578125" style="243" customWidth="1"/>
    <col min="6150" max="6150" width="7.28515625" style="243" customWidth="1"/>
    <col min="6151" max="6152" width="7" style="243" customWidth="1"/>
    <col min="6153" max="6153" width="6.85546875" style="243" customWidth="1"/>
    <col min="6154" max="6154" width="6.5703125" style="243" customWidth="1"/>
    <col min="6155" max="6402" width="11.42578125" style="243"/>
    <col min="6403" max="6403" width="14.85546875" style="243" customWidth="1"/>
    <col min="6404" max="6404" width="14.140625" style="243" customWidth="1"/>
    <col min="6405" max="6405" width="13.42578125" style="243" customWidth="1"/>
    <col min="6406" max="6406" width="7.28515625" style="243" customWidth="1"/>
    <col min="6407" max="6408" width="7" style="243" customWidth="1"/>
    <col min="6409" max="6409" width="6.85546875" style="243" customWidth="1"/>
    <col min="6410" max="6410" width="6.5703125" style="243" customWidth="1"/>
    <col min="6411" max="6658" width="11.42578125" style="243"/>
    <col min="6659" max="6659" width="14.85546875" style="243" customWidth="1"/>
    <col min="6660" max="6660" width="14.140625" style="243" customWidth="1"/>
    <col min="6661" max="6661" width="13.42578125" style="243" customWidth="1"/>
    <col min="6662" max="6662" width="7.28515625" style="243" customWidth="1"/>
    <col min="6663" max="6664" width="7" style="243" customWidth="1"/>
    <col min="6665" max="6665" width="6.85546875" style="243" customWidth="1"/>
    <col min="6666" max="6666" width="6.5703125" style="243" customWidth="1"/>
    <col min="6667" max="6914" width="11.42578125" style="243"/>
    <col min="6915" max="6915" width="14.85546875" style="243" customWidth="1"/>
    <col min="6916" max="6916" width="14.140625" style="243" customWidth="1"/>
    <col min="6917" max="6917" width="13.42578125" style="243" customWidth="1"/>
    <col min="6918" max="6918" width="7.28515625" style="243" customWidth="1"/>
    <col min="6919" max="6920" width="7" style="243" customWidth="1"/>
    <col min="6921" max="6921" width="6.85546875" style="243" customWidth="1"/>
    <col min="6922" max="6922" width="6.5703125" style="243" customWidth="1"/>
    <col min="6923" max="7170" width="11.42578125" style="243"/>
    <col min="7171" max="7171" width="14.85546875" style="243" customWidth="1"/>
    <col min="7172" max="7172" width="14.140625" style="243" customWidth="1"/>
    <col min="7173" max="7173" width="13.42578125" style="243" customWidth="1"/>
    <col min="7174" max="7174" width="7.28515625" style="243" customWidth="1"/>
    <col min="7175" max="7176" width="7" style="243" customWidth="1"/>
    <col min="7177" max="7177" width="6.85546875" style="243" customWidth="1"/>
    <col min="7178" max="7178" width="6.5703125" style="243" customWidth="1"/>
    <col min="7179" max="7426" width="11.42578125" style="243"/>
    <col min="7427" max="7427" width="14.85546875" style="243" customWidth="1"/>
    <col min="7428" max="7428" width="14.140625" style="243" customWidth="1"/>
    <col min="7429" max="7429" width="13.42578125" style="243" customWidth="1"/>
    <col min="7430" max="7430" width="7.28515625" style="243" customWidth="1"/>
    <col min="7431" max="7432" width="7" style="243" customWidth="1"/>
    <col min="7433" max="7433" width="6.85546875" style="243" customWidth="1"/>
    <col min="7434" max="7434" width="6.5703125" style="243" customWidth="1"/>
    <col min="7435" max="7682" width="11.42578125" style="243"/>
    <col min="7683" max="7683" width="14.85546875" style="243" customWidth="1"/>
    <col min="7684" max="7684" width="14.140625" style="243" customWidth="1"/>
    <col min="7685" max="7685" width="13.42578125" style="243" customWidth="1"/>
    <col min="7686" max="7686" width="7.28515625" style="243" customWidth="1"/>
    <col min="7687" max="7688" width="7" style="243" customWidth="1"/>
    <col min="7689" max="7689" width="6.85546875" style="243" customWidth="1"/>
    <col min="7690" max="7690" width="6.5703125" style="243" customWidth="1"/>
    <col min="7691" max="7938" width="11.42578125" style="243"/>
    <col min="7939" max="7939" width="14.85546875" style="243" customWidth="1"/>
    <col min="7940" max="7940" width="14.140625" style="243" customWidth="1"/>
    <col min="7941" max="7941" width="13.42578125" style="243" customWidth="1"/>
    <col min="7942" max="7942" width="7.28515625" style="243" customWidth="1"/>
    <col min="7943" max="7944" width="7" style="243" customWidth="1"/>
    <col min="7945" max="7945" width="6.85546875" style="243" customWidth="1"/>
    <col min="7946" max="7946" width="6.5703125" style="243" customWidth="1"/>
    <col min="7947" max="8194" width="11.42578125" style="243"/>
    <col min="8195" max="8195" width="14.85546875" style="243" customWidth="1"/>
    <col min="8196" max="8196" width="14.140625" style="243" customWidth="1"/>
    <col min="8197" max="8197" width="13.42578125" style="243" customWidth="1"/>
    <col min="8198" max="8198" width="7.28515625" style="243" customWidth="1"/>
    <col min="8199" max="8200" width="7" style="243" customWidth="1"/>
    <col min="8201" max="8201" width="6.85546875" style="243" customWidth="1"/>
    <col min="8202" max="8202" width="6.5703125" style="243" customWidth="1"/>
    <col min="8203" max="8450" width="11.42578125" style="243"/>
    <col min="8451" max="8451" width="14.85546875" style="243" customWidth="1"/>
    <col min="8452" max="8452" width="14.140625" style="243" customWidth="1"/>
    <col min="8453" max="8453" width="13.42578125" style="243" customWidth="1"/>
    <col min="8454" max="8454" width="7.28515625" style="243" customWidth="1"/>
    <col min="8455" max="8456" width="7" style="243" customWidth="1"/>
    <col min="8457" max="8457" width="6.85546875" style="243" customWidth="1"/>
    <col min="8458" max="8458" width="6.5703125" style="243" customWidth="1"/>
    <col min="8459" max="8706" width="11.42578125" style="243"/>
    <col min="8707" max="8707" width="14.85546875" style="243" customWidth="1"/>
    <col min="8708" max="8708" width="14.140625" style="243" customWidth="1"/>
    <col min="8709" max="8709" width="13.42578125" style="243" customWidth="1"/>
    <col min="8710" max="8710" width="7.28515625" style="243" customWidth="1"/>
    <col min="8711" max="8712" width="7" style="243" customWidth="1"/>
    <col min="8713" max="8713" width="6.85546875" style="243" customWidth="1"/>
    <col min="8714" max="8714" width="6.5703125" style="243" customWidth="1"/>
    <col min="8715" max="8962" width="11.42578125" style="243"/>
    <col min="8963" max="8963" width="14.85546875" style="243" customWidth="1"/>
    <col min="8964" max="8964" width="14.140625" style="243" customWidth="1"/>
    <col min="8965" max="8965" width="13.42578125" style="243" customWidth="1"/>
    <col min="8966" max="8966" width="7.28515625" style="243" customWidth="1"/>
    <col min="8967" max="8968" width="7" style="243" customWidth="1"/>
    <col min="8969" max="8969" width="6.85546875" style="243" customWidth="1"/>
    <col min="8970" max="8970" width="6.5703125" style="243" customWidth="1"/>
    <col min="8971" max="9218" width="11.42578125" style="243"/>
    <col min="9219" max="9219" width="14.85546875" style="243" customWidth="1"/>
    <col min="9220" max="9220" width="14.140625" style="243" customWidth="1"/>
    <col min="9221" max="9221" width="13.42578125" style="243" customWidth="1"/>
    <col min="9222" max="9222" width="7.28515625" style="243" customWidth="1"/>
    <col min="9223" max="9224" width="7" style="243" customWidth="1"/>
    <col min="9225" max="9225" width="6.85546875" style="243" customWidth="1"/>
    <col min="9226" max="9226" width="6.5703125" style="243" customWidth="1"/>
    <col min="9227" max="9474" width="11.42578125" style="243"/>
    <col min="9475" max="9475" width="14.85546875" style="243" customWidth="1"/>
    <col min="9476" max="9476" width="14.140625" style="243" customWidth="1"/>
    <col min="9477" max="9477" width="13.42578125" style="243" customWidth="1"/>
    <col min="9478" max="9478" width="7.28515625" style="243" customWidth="1"/>
    <col min="9479" max="9480" width="7" style="243" customWidth="1"/>
    <col min="9481" max="9481" width="6.85546875" style="243" customWidth="1"/>
    <col min="9482" max="9482" width="6.5703125" style="243" customWidth="1"/>
    <col min="9483" max="9730" width="11.42578125" style="243"/>
    <col min="9731" max="9731" width="14.85546875" style="243" customWidth="1"/>
    <col min="9732" max="9732" width="14.140625" style="243" customWidth="1"/>
    <col min="9733" max="9733" width="13.42578125" style="243" customWidth="1"/>
    <col min="9734" max="9734" width="7.28515625" style="243" customWidth="1"/>
    <col min="9735" max="9736" width="7" style="243" customWidth="1"/>
    <col min="9737" max="9737" width="6.85546875" style="243" customWidth="1"/>
    <col min="9738" max="9738" width="6.5703125" style="243" customWidth="1"/>
    <col min="9739" max="9986" width="11.42578125" style="243"/>
    <col min="9987" max="9987" width="14.85546875" style="243" customWidth="1"/>
    <col min="9988" max="9988" width="14.140625" style="243" customWidth="1"/>
    <col min="9989" max="9989" width="13.42578125" style="243" customWidth="1"/>
    <col min="9990" max="9990" width="7.28515625" style="243" customWidth="1"/>
    <col min="9991" max="9992" width="7" style="243" customWidth="1"/>
    <col min="9993" max="9993" width="6.85546875" style="243" customWidth="1"/>
    <col min="9994" max="9994" width="6.5703125" style="243" customWidth="1"/>
    <col min="9995" max="10242" width="11.42578125" style="243"/>
    <col min="10243" max="10243" width="14.85546875" style="243" customWidth="1"/>
    <col min="10244" max="10244" width="14.140625" style="243" customWidth="1"/>
    <col min="10245" max="10245" width="13.42578125" style="243" customWidth="1"/>
    <col min="10246" max="10246" width="7.28515625" style="243" customWidth="1"/>
    <col min="10247" max="10248" width="7" style="243" customWidth="1"/>
    <col min="10249" max="10249" width="6.85546875" style="243" customWidth="1"/>
    <col min="10250" max="10250" width="6.5703125" style="243" customWidth="1"/>
    <col min="10251" max="10498" width="11.42578125" style="243"/>
    <col min="10499" max="10499" width="14.85546875" style="243" customWidth="1"/>
    <col min="10500" max="10500" width="14.140625" style="243" customWidth="1"/>
    <col min="10501" max="10501" width="13.42578125" style="243" customWidth="1"/>
    <col min="10502" max="10502" width="7.28515625" style="243" customWidth="1"/>
    <col min="10503" max="10504" width="7" style="243" customWidth="1"/>
    <col min="10505" max="10505" width="6.85546875" style="243" customWidth="1"/>
    <col min="10506" max="10506" width="6.5703125" style="243" customWidth="1"/>
    <col min="10507" max="10754" width="11.42578125" style="243"/>
    <col min="10755" max="10755" width="14.85546875" style="243" customWidth="1"/>
    <col min="10756" max="10756" width="14.140625" style="243" customWidth="1"/>
    <col min="10757" max="10757" width="13.42578125" style="243" customWidth="1"/>
    <col min="10758" max="10758" width="7.28515625" style="243" customWidth="1"/>
    <col min="10759" max="10760" width="7" style="243" customWidth="1"/>
    <col min="10761" max="10761" width="6.85546875" style="243" customWidth="1"/>
    <col min="10762" max="10762" width="6.5703125" style="243" customWidth="1"/>
    <col min="10763" max="11010" width="11.42578125" style="243"/>
    <col min="11011" max="11011" width="14.85546875" style="243" customWidth="1"/>
    <col min="11012" max="11012" width="14.140625" style="243" customWidth="1"/>
    <col min="11013" max="11013" width="13.42578125" style="243" customWidth="1"/>
    <col min="11014" max="11014" width="7.28515625" style="243" customWidth="1"/>
    <col min="11015" max="11016" width="7" style="243" customWidth="1"/>
    <col min="11017" max="11017" width="6.85546875" style="243" customWidth="1"/>
    <col min="11018" max="11018" width="6.5703125" style="243" customWidth="1"/>
    <col min="11019" max="11266" width="11.42578125" style="243"/>
    <col min="11267" max="11267" width="14.85546875" style="243" customWidth="1"/>
    <col min="11268" max="11268" width="14.140625" style="243" customWidth="1"/>
    <col min="11269" max="11269" width="13.42578125" style="243" customWidth="1"/>
    <col min="11270" max="11270" width="7.28515625" style="243" customWidth="1"/>
    <col min="11271" max="11272" width="7" style="243" customWidth="1"/>
    <col min="11273" max="11273" width="6.85546875" style="243" customWidth="1"/>
    <col min="11274" max="11274" width="6.5703125" style="243" customWidth="1"/>
    <col min="11275" max="11522" width="11.42578125" style="243"/>
    <col min="11523" max="11523" width="14.85546875" style="243" customWidth="1"/>
    <col min="11524" max="11524" width="14.140625" style="243" customWidth="1"/>
    <col min="11525" max="11525" width="13.42578125" style="243" customWidth="1"/>
    <col min="11526" max="11526" width="7.28515625" style="243" customWidth="1"/>
    <col min="11527" max="11528" width="7" style="243" customWidth="1"/>
    <col min="11529" max="11529" width="6.85546875" style="243" customWidth="1"/>
    <col min="11530" max="11530" width="6.5703125" style="243" customWidth="1"/>
    <col min="11531" max="11778" width="11.42578125" style="243"/>
    <col min="11779" max="11779" width="14.85546875" style="243" customWidth="1"/>
    <col min="11780" max="11780" width="14.140625" style="243" customWidth="1"/>
    <col min="11781" max="11781" width="13.42578125" style="243" customWidth="1"/>
    <col min="11782" max="11782" width="7.28515625" style="243" customWidth="1"/>
    <col min="11783" max="11784" width="7" style="243" customWidth="1"/>
    <col min="11785" max="11785" width="6.85546875" style="243" customWidth="1"/>
    <col min="11786" max="11786" width="6.5703125" style="243" customWidth="1"/>
    <col min="11787" max="12034" width="11.42578125" style="243"/>
    <col min="12035" max="12035" width="14.85546875" style="243" customWidth="1"/>
    <col min="12036" max="12036" width="14.140625" style="243" customWidth="1"/>
    <col min="12037" max="12037" width="13.42578125" style="243" customWidth="1"/>
    <col min="12038" max="12038" width="7.28515625" style="243" customWidth="1"/>
    <col min="12039" max="12040" width="7" style="243" customWidth="1"/>
    <col min="12041" max="12041" width="6.85546875" style="243" customWidth="1"/>
    <col min="12042" max="12042" width="6.5703125" style="243" customWidth="1"/>
    <col min="12043" max="12290" width="11.42578125" style="243"/>
    <col min="12291" max="12291" width="14.85546875" style="243" customWidth="1"/>
    <col min="12292" max="12292" width="14.140625" style="243" customWidth="1"/>
    <col min="12293" max="12293" width="13.42578125" style="243" customWidth="1"/>
    <col min="12294" max="12294" width="7.28515625" style="243" customWidth="1"/>
    <col min="12295" max="12296" width="7" style="243" customWidth="1"/>
    <col min="12297" max="12297" width="6.85546875" style="243" customWidth="1"/>
    <col min="12298" max="12298" width="6.5703125" style="243" customWidth="1"/>
    <col min="12299" max="12546" width="11.42578125" style="243"/>
    <col min="12547" max="12547" width="14.85546875" style="243" customWidth="1"/>
    <col min="12548" max="12548" width="14.140625" style="243" customWidth="1"/>
    <col min="12549" max="12549" width="13.42578125" style="243" customWidth="1"/>
    <col min="12550" max="12550" width="7.28515625" style="243" customWidth="1"/>
    <col min="12551" max="12552" width="7" style="243" customWidth="1"/>
    <col min="12553" max="12553" width="6.85546875" style="243" customWidth="1"/>
    <col min="12554" max="12554" width="6.5703125" style="243" customWidth="1"/>
    <col min="12555" max="12802" width="11.42578125" style="243"/>
    <col min="12803" max="12803" width="14.85546875" style="243" customWidth="1"/>
    <col min="12804" max="12804" width="14.140625" style="243" customWidth="1"/>
    <col min="12805" max="12805" width="13.42578125" style="243" customWidth="1"/>
    <col min="12806" max="12806" width="7.28515625" style="243" customWidth="1"/>
    <col min="12807" max="12808" width="7" style="243" customWidth="1"/>
    <col min="12809" max="12809" width="6.85546875" style="243" customWidth="1"/>
    <col min="12810" max="12810" width="6.5703125" style="243" customWidth="1"/>
    <col min="12811" max="13058" width="11.42578125" style="243"/>
    <col min="13059" max="13059" width="14.85546875" style="243" customWidth="1"/>
    <col min="13060" max="13060" width="14.140625" style="243" customWidth="1"/>
    <col min="13061" max="13061" width="13.42578125" style="243" customWidth="1"/>
    <col min="13062" max="13062" width="7.28515625" style="243" customWidth="1"/>
    <col min="13063" max="13064" width="7" style="243" customWidth="1"/>
    <col min="13065" max="13065" width="6.85546875" style="243" customWidth="1"/>
    <col min="13066" max="13066" width="6.5703125" style="243" customWidth="1"/>
    <col min="13067" max="13314" width="11.42578125" style="243"/>
    <col min="13315" max="13315" width="14.85546875" style="243" customWidth="1"/>
    <col min="13316" max="13316" width="14.140625" style="243" customWidth="1"/>
    <col min="13317" max="13317" width="13.42578125" style="243" customWidth="1"/>
    <col min="13318" max="13318" width="7.28515625" style="243" customWidth="1"/>
    <col min="13319" max="13320" width="7" style="243" customWidth="1"/>
    <col min="13321" max="13321" width="6.85546875" style="243" customWidth="1"/>
    <col min="13322" max="13322" width="6.5703125" style="243" customWidth="1"/>
    <col min="13323" max="13570" width="11.42578125" style="243"/>
    <col min="13571" max="13571" width="14.85546875" style="243" customWidth="1"/>
    <col min="13572" max="13572" width="14.140625" style="243" customWidth="1"/>
    <col min="13573" max="13573" width="13.42578125" style="243" customWidth="1"/>
    <col min="13574" max="13574" width="7.28515625" style="243" customWidth="1"/>
    <col min="13575" max="13576" width="7" style="243" customWidth="1"/>
    <col min="13577" max="13577" width="6.85546875" style="243" customWidth="1"/>
    <col min="13578" max="13578" width="6.5703125" style="243" customWidth="1"/>
    <col min="13579" max="13826" width="11.42578125" style="243"/>
    <col min="13827" max="13827" width="14.85546875" style="243" customWidth="1"/>
    <col min="13828" max="13828" width="14.140625" style="243" customWidth="1"/>
    <col min="13829" max="13829" width="13.42578125" style="243" customWidth="1"/>
    <col min="13830" max="13830" width="7.28515625" style="243" customWidth="1"/>
    <col min="13831" max="13832" width="7" style="243" customWidth="1"/>
    <col min="13833" max="13833" width="6.85546875" style="243" customWidth="1"/>
    <col min="13834" max="13834" width="6.5703125" style="243" customWidth="1"/>
    <col min="13835" max="14082" width="11.42578125" style="243"/>
    <col min="14083" max="14083" width="14.85546875" style="243" customWidth="1"/>
    <col min="14084" max="14084" width="14.140625" style="243" customWidth="1"/>
    <col min="14085" max="14085" width="13.42578125" style="243" customWidth="1"/>
    <col min="14086" max="14086" width="7.28515625" style="243" customWidth="1"/>
    <col min="14087" max="14088" width="7" style="243" customWidth="1"/>
    <col min="14089" max="14089" width="6.85546875" style="243" customWidth="1"/>
    <col min="14090" max="14090" width="6.5703125" style="243" customWidth="1"/>
    <col min="14091" max="14338" width="11.42578125" style="243"/>
    <col min="14339" max="14339" width="14.85546875" style="243" customWidth="1"/>
    <col min="14340" max="14340" width="14.140625" style="243" customWidth="1"/>
    <col min="14341" max="14341" width="13.42578125" style="243" customWidth="1"/>
    <col min="14342" max="14342" width="7.28515625" style="243" customWidth="1"/>
    <col min="14343" max="14344" width="7" style="243" customWidth="1"/>
    <col min="14345" max="14345" width="6.85546875" style="243" customWidth="1"/>
    <col min="14346" max="14346" width="6.5703125" style="243" customWidth="1"/>
    <col min="14347" max="14594" width="11.42578125" style="243"/>
    <col min="14595" max="14595" width="14.85546875" style="243" customWidth="1"/>
    <col min="14596" max="14596" width="14.140625" style="243" customWidth="1"/>
    <col min="14597" max="14597" width="13.42578125" style="243" customWidth="1"/>
    <col min="14598" max="14598" width="7.28515625" style="243" customWidth="1"/>
    <col min="14599" max="14600" width="7" style="243" customWidth="1"/>
    <col min="14601" max="14601" width="6.85546875" style="243" customWidth="1"/>
    <col min="14602" max="14602" width="6.5703125" style="243" customWidth="1"/>
    <col min="14603" max="14850" width="11.42578125" style="243"/>
    <col min="14851" max="14851" width="14.85546875" style="243" customWidth="1"/>
    <col min="14852" max="14852" width="14.140625" style="243" customWidth="1"/>
    <col min="14853" max="14853" width="13.42578125" style="243" customWidth="1"/>
    <col min="14854" max="14854" width="7.28515625" style="243" customWidth="1"/>
    <col min="14855" max="14856" width="7" style="243" customWidth="1"/>
    <col min="14857" max="14857" width="6.85546875" style="243" customWidth="1"/>
    <col min="14858" max="14858" width="6.5703125" style="243" customWidth="1"/>
    <col min="14859" max="15106" width="11.42578125" style="243"/>
    <col min="15107" max="15107" width="14.85546875" style="243" customWidth="1"/>
    <col min="15108" max="15108" width="14.140625" style="243" customWidth="1"/>
    <col min="15109" max="15109" width="13.42578125" style="243" customWidth="1"/>
    <col min="15110" max="15110" width="7.28515625" style="243" customWidth="1"/>
    <col min="15111" max="15112" width="7" style="243" customWidth="1"/>
    <col min="15113" max="15113" width="6.85546875" style="243" customWidth="1"/>
    <col min="15114" max="15114" width="6.5703125" style="243" customWidth="1"/>
    <col min="15115" max="15362" width="11.42578125" style="243"/>
    <col min="15363" max="15363" width="14.85546875" style="243" customWidth="1"/>
    <col min="15364" max="15364" width="14.140625" style="243" customWidth="1"/>
    <col min="15365" max="15365" width="13.42578125" style="243" customWidth="1"/>
    <col min="15366" max="15366" width="7.28515625" style="243" customWidth="1"/>
    <col min="15367" max="15368" width="7" style="243" customWidth="1"/>
    <col min="15369" max="15369" width="6.85546875" style="243" customWidth="1"/>
    <col min="15370" max="15370" width="6.5703125" style="243" customWidth="1"/>
    <col min="15371" max="15618" width="11.42578125" style="243"/>
    <col min="15619" max="15619" width="14.85546875" style="243" customWidth="1"/>
    <col min="15620" max="15620" width="14.140625" style="243" customWidth="1"/>
    <col min="15621" max="15621" width="13.42578125" style="243" customWidth="1"/>
    <col min="15622" max="15622" width="7.28515625" style="243" customWidth="1"/>
    <col min="15623" max="15624" width="7" style="243" customWidth="1"/>
    <col min="15625" max="15625" width="6.85546875" style="243" customWidth="1"/>
    <col min="15626" max="15626" width="6.5703125" style="243" customWidth="1"/>
    <col min="15627" max="15874" width="11.42578125" style="243"/>
    <col min="15875" max="15875" width="14.85546875" style="243" customWidth="1"/>
    <col min="15876" max="15876" width="14.140625" style="243" customWidth="1"/>
    <col min="15877" max="15877" width="13.42578125" style="243" customWidth="1"/>
    <col min="15878" max="15878" width="7.28515625" style="243" customWidth="1"/>
    <col min="15879" max="15880" width="7" style="243" customWidth="1"/>
    <col min="15881" max="15881" width="6.85546875" style="243" customWidth="1"/>
    <col min="15882" max="15882" width="6.5703125" style="243" customWidth="1"/>
    <col min="15883" max="16130" width="11.42578125" style="243"/>
    <col min="16131" max="16131" width="14.85546875" style="243" customWidth="1"/>
    <col min="16132" max="16132" width="14.140625" style="243" customWidth="1"/>
    <col min="16133" max="16133" width="13.42578125" style="243" customWidth="1"/>
    <col min="16134" max="16134" width="7.28515625" style="243" customWidth="1"/>
    <col min="16135" max="16136" width="7" style="243" customWidth="1"/>
    <col min="16137" max="16137" width="6.85546875" style="243" customWidth="1"/>
    <col min="16138" max="16138" width="6.5703125" style="243" customWidth="1"/>
    <col min="16139" max="16384" width="11.42578125" style="243"/>
  </cols>
  <sheetData>
    <row r="1" spans="1:13" x14ac:dyDescent="0.2">
      <c r="B1" s="754" t="s">
        <v>9</v>
      </c>
      <c r="C1" s="754"/>
      <c r="D1" s="754"/>
      <c r="E1" s="754"/>
    </row>
    <row r="2" spans="1:13" s="253" customFormat="1" ht="12" thickBot="1" x14ac:dyDescent="0.25">
      <c r="A2" s="659"/>
      <c r="B2" s="830" t="s">
        <v>397</v>
      </c>
      <c r="C2" s="830" t="s">
        <v>398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</row>
    <row r="3" spans="1:13" ht="43.5" customHeight="1" x14ac:dyDescent="0.2">
      <c r="B3" s="815" t="s">
        <v>1</v>
      </c>
      <c r="C3" s="816" t="s">
        <v>396</v>
      </c>
      <c r="D3" s="812" t="s">
        <v>13</v>
      </c>
      <c r="E3" s="244" t="s">
        <v>14</v>
      </c>
      <c r="J3" s="242"/>
    </row>
    <row r="4" spans="1:13" x14ac:dyDescent="0.2">
      <c r="B4" s="817">
        <v>2013</v>
      </c>
      <c r="C4" s="818">
        <f>+D4+E4</f>
        <v>16397</v>
      </c>
      <c r="D4" s="813">
        <v>12327</v>
      </c>
      <c r="E4" s="246">
        <v>4070</v>
      </c>
      <c r="J4" s="242"/>
    </row>
    <row r="5" spans="1:13" x14ac:dyDescent="0.2">
      <c r="B5" s="817">
        <v>2014</v>
      </c>
      <c r="C5" s="818">
        <f>+D5+E5</f>
        <v>17559</v>
      </c>
      <c r="D5" s="813">
        <v>14154</v>
      </c>
      <c r="E5" s="246">
        <v>3405</v>
      </c>
      <c r="J5" s="242"/>
    </row>
    <row r="6" spans="1:13" x14ac:dyDescent="0.2">
      <c r="B6" s="817">
        <v>2015</v>
      </c>
      <c r="C6" s="818">
        <f>+D6+E6</f>
        <v>19379</v>
      </c>
      <c r="D6" s="813">
        <v>16505</v>
      </c>
      <c r="E6" s="246">
        <v>2874</v>
      </c>
      <c r="J6" s="242"/>
    </row>
    <row r="7" spans="1:13" x14ac:dyDescent="0.2">
      <c r="B7" s="817">
        <v>2016</v>
      </c>
      <c r="C7" s="818">
        <f>+D7+E7</f>
        <v>20881</v>
      </c>
      <c r="D7" s="813">
        <v>17897</v>
      </c>
      <c r="E7" s="246">
        <v>2984</v>
      </c>
      <c r="J7" s="242"/>
    </row>
    <row r="8" spans="1:13" s="242" customFormat="1" ht="12" thickBot="1" x14ac:dyDescent="0.25">
      <c r="B8" s="819">
        <v>2017</v>
      </c>
      <c r="C8" s="820">
        <f>+D8+E8</f>
        <v>22834</v>
      </c>
      <c r="D8" s="813">
        <v>19501</v>
      </c>
      <c r="E8" s="246">
        <v>3333</v>
      </c>
      <c r="F8" s="241"/>
      <c r="G8" s="241"/>
      <c r="H8" s="241"/>
      <c r="I8" s="241"/>
      <c r="J8" s="241"/>
    </row>
    <row r="9" spans="1:13" s="242" customFormat="1" x14ac:dyDescent="0.2">
      <c r="B9" s="814" t="s">
        <v>11</v>
      </c>
      <c r="C9" s="814"/>
      <c r="D9" s="675"/>
      <c r="E9" s="675"/>
      <c r="F9" s="241"/>
      <c r="G9" s="241"/>
      <c r="H9" s="241"/>
      <c r="I9" s="241"/>
      <c r="J9" s="241"/>
    </row>
    <row r="10" spans="1:13" s="242" customFormat="1" ht="15" customHeight="1" x14ac:dyDescent="0.2">
      <c r="B10" s="676" t="s">
        <v>12</v>
      </c>
      <c r="C10" s="676"/>
      <c r="D10" s="676"/>
      <c r="E10" s="676"/>
      <c r="F10" s="241"/>
      <c r="G10" s="241"/>
      <c r="H10" s="241"/>
      <c r="I10" s="241"/>
      <c r="J10" s="241"/>
    </row>
    <row r="11" spans="1:13" s="242" customFormat="1" x14ac:dyDescent="0.2">
      <c r="D11" s="241"/>
      <c r="F11" s="241"/>
      <c r="G11" s="241"/>
      <c r="H11" s="241"/>
      <c r="I11" s="241"/>
      <c r="J11" s="241"/>
    </row>
    <row r="12" spans="1:13" s="242" customFormat="1" x14ac:dyDescent="0.2">
      <c r="B12" s="242" t="s">
        <v>8</v>
      </c>
      <c r="C12" s="242">
        <v>5</v>
      </c>
      <c r="D12" s="241"/>
      <c r="E12" s="241"/>
      <c r="F12" s="241"/>
      <c r="G12" s="241"/>
      <c r="H12" s="241"/>
      <c r="I12" s="241"/>
      <c r="J12" s="241"/>
    </row>
    <row r="13" spans="1:13" s="242" customFormat="1" ht="33.75" x14ac:dyDescent="0.2">
      <c r="B13" s="244" t="s">
        <v>7</v>
      </c>
      <c r="C13" s="244" t="s">
        <v>6</v>
      </c>
      <c r="D13" s="244" t="s">
        <v>5</v>
      </c>
      <c r="E13" s="244" t="s">
        <v>272</v>
      </c>
      <c r="F13" s="241"/>
      <c r="G13" s="241"/>
      <c r="H13" s="241"/>
      <c r="I13" s="241"/>
      <c r="J13" s="241"/>
    </row>
    <row r="14" spans="1:13" s="242" customFormat="1" x14ac:dyDescent="0.2">
      <c r="B14" s="245">
        <v>2013</v>
      </c>
      <c r="C14" s="247">
        <f>C4</f>
        <v>16397</v>
      </c>
      <c r="D14" s="247">
        <f>B14*C14</f>
        <v>33007161</v>
      </c>
      <c r="E14" s="248">
        <f>B14^2</f>
        <v>4052169</v>
      </c>
      <c r="F14" s="241"/>
      <c r="G14" s="241"/>
      <c r="H14" s="241"/>
      <c r="I14" s="241"/>
      <c r="J14" s="241"/>
    </row>
    <row r="15" spans="1:13" s="242" customFormat="1" x14ac:dyDescent="0.2">
      <c r="B15" s="245">
        <v>2014</v>
      </c>
      <c r="C15" s="247">
        <f>C5</f>
        <v>17559</v>
      </c>
      <c r="D15" s="247">
        <f>B15*C15</f>
        <v>35363826</v>
      </c>
      <c r="E15" s="248">
        <f>B15^2</f>
        <v>4056196</v>
      </c>
      <c r="F15" s="241"/>
      <c r="G15" s="241"/>
      <c r="H15" s="241"/>
      <c r="I15" s="241"/>
      <c r="J15" s="241"/>
    </row>
    <row r="16" spans="1:13" s="242" customFormat="1" x14ac:dyDescent="0.2">
      <c r="B16" s="245">
        <v>2015</v>
      </c>
      <c r="C16" s="247">
        <f>C6</f>
        <v>19379</v>
      </c>
      <c r="D16" s="247">
        <f>B16*C16</f>
        <v>39048685</v>
      </c>
      <c r="E16" s="248">
        <f>B16^2</f>
        <v>4060225</v>
      </c>
      <c r="F16" s="241"/>
      <c r="G16" s="241"/>
      <c r="H16" s="241"/>
      <c r="I16" s="241"/>
      <c r="J16" s="241"/>
    </row>
    <row r="17" spans="2:13" s="242" customFormat="1" x14ac:dyDescent="0.2">
      <c r="B17" s="245">
        <v>2016</v>
      </c>
      <c r="C17" s="247">
        <f>C7</f>
        <v>20881</v>
      </c>
      <c r="D17" s="247">
        <f>B17*C17</f>
        <v>42096096</v>
      </c>
      <c r="E17" s="248">
        <f>B17^2</f>
        <v>4064256</v>
      </c>
      <c r="F17" s="241"/>
      <c r="G17" s="241"/>
      <c r="H17" s="241"/>
      <c r="I17" s="241"/>
      <c r="J17" s="241"/>
    </row>
    <row r="18" spans="2:13" s="242" customFormat="1" x14ac:dyDescent="0.2">
      <c r="B18" s="245">
        <v>2017</v>
      </c>
      <c r="C18" s="247">
        <f>C8</f>
        <v>22834</v>
      </c>
      <c r="D18" s="247">
        <f>B18*C18</f>
        <v>46056178</v>
      </c>
      <c r="E18" s="248">
        <f>B18^2</f>
        <v>4068289</v>
      </c>
      <c r="F18" s="241"/>
      <c r="G18" s="241"/>
      <c r="H18" s="241"/>
      <c r="I18" s="241"/>
      <c r="J18" s="241"/>
      <c r="K18" s="249"/>
    </row>
    <row r="19" spans="2:13" x14ac:dyDescent="0.2">
      <c r="B19" s="250">
        <f>SUM(B14:B18)</f>
        <v>10075</v>
      </c>
      <c r="C19" s="251">
        <f>SUM(C14:C18)</f>
        <v>97050</v>
      </c>
      <c r="D19" s="251">
        <f>SUM(D14:D18)</f>
        <v>195571946</v>
      </c>
      <c r="E19" s="251">
        <f>SUM(E14:E18)</f>
        <v>20301135</v>
      </c>
    </row>
    <row r="20" spans="2:13" s="253" customFormat="1" x14ac:dyDescent="0.2"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</row>
    <row r="21" spans="2:13" s="253" customFormat="1" x14ac:dyDescent="0.2">
      <c r="B21" s="831" t="s">
        <v>4</v>
      </c>
      <c r="C21" s="832">
        <f>(C12*D19-B19*C19)/(C12*E19-B19*B19)</f>
        <v>1619.6</v>
      </c>
      <c r="D21" s="254">
        <f>SLOPE(C27:C28,B27:B28)</f>
        <v>1619.6000000000931</v>
      </c>
      <c r="E21" s="252"/>
      <c r="F21" s="252"/>
      <c r="G21" s="252"/>
      <c r="H21" s="252"/>
      <c r="I21" s="252"/>
      <c r="J21" s="252"/>
      <c r="K21" s="252"/>
      <c r="L21" s="252"/>
      <c r="M21" s="252"/>
    </row>
    <row r="22" spans="2:13" x14ac:dyDescent="0.2">
      <c r="B22" s="831" t="s">
        <v>3</v>
      </c>
      <c r="C22" s="833">
        <f>(C19-C21*B19)/C12</f>
        <v>-3244084</v>
      </c>
      <c r="D22" s="254">
        <f>SLOPE(C27:C28,B27:B28)</f>
        <v>1619.6000000000931</v>
      </c>
      <c r="E22" s="241"/>
    </row>
    <row r="23" spans="2:13" x14ac:dyDescent="0.2">
      <c r="B23" s="242"/>
      <c r="C23" s="242"/>
      <c r="D23" s="241"/>
      <c r="E23" s="241"/>
    </row>
    <row r="24" spans="2:13" x14ac:dyDescent="0.2">
      <c r="B24" s="242"/>
      <c r="C24" s="242"/>
      <c r="D24" s="241"/>
      <c r="E24" s="241"/>
    </row>
    <row r="25" spans="2:13" ht="12.75" customHeight="1" thickBot="1" x14ac:dyDescent="0.25">
      <c r="B25" s="821" t="s">
        <v>2</v>
      </c>
      <c r="C25" s="825"/>
      <c r="D25" s="241"/>
      <c r="E25" s="241"/>
    </row>
    <row r="26" spans="2:13" ht="33.75" x14ac:dyDescent="0.2">
      <c r="B26" s="822" t="s">
        <v>1</v>
      </c>
      <c r="C26" s="826" t="s">
        <v>15</v>
      </c>
      <c r="D26" s="241"/>
      <c r="E26" s="241"/>
      <c r="J26" s="242"/>
    </row>
    <row r="27" spans="2:13" x14ac:dyDescent="0.2">
      <c r="B27" s="823">
        <v>2022</v>
      </c>
      <c r="C27" s="827">
        <f t="shared" ref="C27:C32" si="0">$C$21*B27+$C$22</f>
        <v>30747.199999999721</v>
      </c>
      <c r="D27" s="241"/>
      <c r="E27" s="241"/>
      <c r="J27" s="242"/>
    </row>
    <row r="28" spans="2:13" x14ac:dyDescent="0.2">
      <c r="B28" s="824">
        <v>2023</v>
      </c>
      <c r="C28" s="828">
        <f t="shared" si="0"/>
        <v>32366.799999999814</v>
      </c>
      <c r="D28" s="241"/>
      <c r="E28" s="241"/>
      <c r="J28" s="242"/>
    </row>
    <row r="29" spans="2:13" x14ac:dyDescent="0.2">
      <c r="B29" s="824">
        <v>2024</v>
      </c>
      <c r="C29" s="828">
        <f t="shared" si="0"/>
        <v>33986.399999999907</v>
      </c>
      <c r="D29" s="241"/>
      <c r="E29" s="241"/>
      <c r="J29" s="242"/>
    </row>
    <row r="30" spans="2:13" x14ac:dyDescent="0.2">
      <c r="B30" s="824">
        <v>2025</v>
      </c>
      <c r="C30" s="828">
        <f t="shared" si="0"/>
        <v>35606</v>
      </c>
      <c r="D30" s="241"/>
      <c r="E30" s="241"/>
      <c r="J30" s="242"/>
    </row>
    <row r="31" spans="2:13" x14ac:dyDescent="0.2">
      <c r="B31" s="824">
        <v>2026</v>
      </c>
      <c r="C31" s="828">
        <f t="shared" si="0"/>
        <v>37225.599999999627</v>
      </c>
      <c r="D31" s="241"/>
      <c r="E31" s="241"/>
      <c r="J31" s="242"/>
    </row>
    <row r="32" spans="2:13" ht="12" thickBot="1" x14ac:dyDescent="0.25">
      <c r="B32" s="824">
        <v>2027</v>
      </c>
      <c r="C32" s="829">
        <f t="shared" si="0"/>
        <v>38845.199999999721</v>
      </c>
      <c r="D32" s="241"/>
      <c r="E32" s="241"/>
      <c r="J32" s="242"/>
    </row>
    <row r="33" spans="2:13" x14ac:dyDescent="0.2">
      <c r="D33" s="241"/>
      <c r="E33" s="241"/>
    </row>
    <row r="34" spans="2:13" x14ac:dyDescent="0.2">
      <c r="D34" s="241"/>
      <c r="E34" s="241"/>
    </row>
    <row r="35" spans="2:13" s="241" customFormat="1" x14ac:dyDescent="0.2">
      <c r="B35" s="242"/>
      <c r="C35" s="242"/>
      <c r="K35" s="242"/>
      <c r="L35" s="242"/>
      <c r="M35" s="242"/>
    </row>
    <row r="36" spans="2:13" s="241" customFormat="1" x14ac:dyDescent="0.2">
      <c r="B36" s="242"/>
      <c r="C36" s="242"/>
      <c r="K36" s="242"/>
      <c r="L36" s="242"/>
      <c r="M36" s="242"/>
    </row>
    <row r="37" spans="2:13" s="241" customFormat="1" x14ac:dyDescent="0.2">
      <c r="B37" s="242"/>
      <c r="C37" s="242"/>
      <c r="K37" s="242"/>
      <c r="L37" s="242"/>
      <c r="M37" s="242"/>
    </row>
    <row r="38" spans="2:13" s="241" customFormat="1" x14ac:dyDescent="0.2">
      <c r="B38" s="242"/>
      <c r="C38" s="242"/>
      <c r="K38" s="242"/>
      <c r="L38" s="242"/>
      <c r="M38" s="242"/>
    </row>
  </sheetData>
  <mergeCells count="4">
    <mergeCell ref="B9:E9"/>
    <mergeCell ref="B10:E10"/>
    <mergeCell ref="B25:C25"/>
    <mergeCell ref="B1:E1"/>
  </mergeCells>
  <pageMargins left="0.7" right="0.7" top="0.75" bottom="0.75" header="0.3" footer="0.3"/>
  <pageSetup paperSize="9" scale="71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showGridLines="0" zoomScale="130" zoomScaleNormal="130" zoomScaleSheetLayoutView="100" workbookViewId="0">
      <selection activeCell="C15" sqref="C15"/>
    </sheetView>
  </sheetViews>
  <sheetFormatPr baseColWidth="10" defaultRowHeight="11.25" x14ac:dyDescent="0.25"/>
  <cols>
    <col min="1" max="1" width="4.140625" style="231" customWidth="1"/>
    <col min="2" max="2" width="8.42578125" style="231" customWidth="1"/>
    <col min="3" max="5" width="15.140625" style="231" customWidth="1"/>
    <col min="6" max="255" width="11.42578125" style="231"/>
    <col min="256" max="256" width="4.140625" style="231" customWidth="1"/>
    <col min="257" max="257" width="8.42578125" style="231" customWidth="1"/>
    <col min="258" max="260" width="15.140625" style="231" customWidth="1"/>
    <col min="261" max="261" width="2.85546875" style="231" customWidth="1"/>
    <col min="262" max="511" width="11.42578125" style="231"/>
    <col min="512" max="512" width="4.140625" style="231" customWidth="1"/>
    <col min="513" max="513" width="8.42578125" style="231" customWidth="1"/>
    <col min="514" max="516" width="15.140625" style="231" customWidth="1"/>
    <col min="517" max="517" width="2.85546875" style="231" customWidth="1"/>
    <col min="518" max="767" width="11.42578125" style="231"/>
    <col min="768" max="768" width="4.140625" style="231" customWidth="1"/>
    <col min="769" max="769" width="8.42578125" style="231" customWidth="1"/>
    <col min="770" max="772" width="15.140625" style="231" customWidth="1"/>
    <col min="773" max="773" width="2.85546875" style="231" customWidth="1"/>
    <col min="774" max="1023" width="11.42578125" style="231"/>
    <col min="1024" max="1024" width="4.140625" style="231" customWidth="1"/>
    <col min="1025" max="1025" width="8.42578125" style="231" customWidth="1"/>
    <col min="1026" max="1028" width="15.140625" style="231" customWidth="1"/>
    <col min="1029" max="1029" width="2.85546875" style="231" customWidth="1"/>
    <col min="1030" max="1279" width="11.42578125" style="231"/>
    <col min="1280" max="1280" width="4.140625" style="231" customWidth="1"/>
    <col min="1281" max="1281" width="8.42578125" style="231" customWidth="1"/>
    <col min="1282" max="1284" width="15.140625" style="231" customWidth="1"/>
    <col min="1285" max="1285" width="2.85546875" style="231" customWidth="1"/>
    <col min="1286" max="1535" width="11.42578125" style="231"/>
    <col min="1536" max="1536" width="4.140625" style="231" customWidth="1"/>
    <col min="1537" max="1537" width="8.42578125" style="231" customWidth="1"/>
    <col min="1538" max="1540" width="15.140625" style="231" customWidth="1"/>
    <col min="1541" max="1541" width="2.85546875" style="231" customWidth="1"/>
    <col min="1542" max="1791" width="11.42578125" style="231"/>
    <col min="1792" max="1792" width="4.140625" style="231" customWidth="1"/>
    <col min="1793" max="1793" width="8.42578125" style="231" customWidth="1"/>
    <col min="1794" max="1796" width="15.140625" style="231" customWidth="1"/>
    <col min="1797" max="1797" width="2.85546875" style="231" customWidth="1"/>
    <col min="1798" max="2047" width="11.42578125" style="231"/>
    <col min="2048" max="2048" width="4.140625" style="231" customWidth="1"/>
    <col min="2049" max="2049" width="8.42578125" style="231" customWidth="1"/>
    <col min="2050" max="2052" width="15.140625" style="231" customWidth="1"/>
    <col min="2053" max="2053" width="2.85546875" style="231" customWidth="1"/>
    <col min="2054" max="2303" width="11.42578125" style="231"/>
    <col min="2304" max="2304" width="4.140625" style="231" customWidth="1"/>
    <col min="2305" max="2305" width="8.42578125" style="231" customWidth="1"/>
    <col min="2306" max="2308" width="15.140625" style="231" customWidth="1"/>
    <col min="2309" max="2309" width="2.85546875" style="231" customWidth="1"/>
    <col min="2310" max="2559" width="11.42578125" style="231"/>
    <col min="2560" max="2560" width="4.140625" style="231" customWidth="1"/>
    <col min="2561" max="2561" width="8.42578125" style="231" customWidth="1"/>
    <col min="2562" max="2564" width="15.140625" style="231" customWidth="1"/>
    <col min="2565" max="2565" width="2.85546875" style="231" customWidth="1"/>
    <col min="2566" max="2815" width="11.42578125" style="231"/>
    <col min="2816" max="2816" width="4.140625" style="231" customWidth="1"/>
    <col min="2817" max="2817" width="8.42578125" style="231" customWidth="1"/>
    <col min="2818" max="2820" width="15.140625" style="231" customWidth="1"/>
    <col min="2821" max="2821" width="2.85546875" style="231" customWidth="1"/>
    <col min="2822" max="3071" width="11.42578125" style="231"/>
    <col min="3072" max="3072" width="4.140625" style="231" customWidth="1"/>
    <col min="3073" max="3073" width="8.42578125" style="231" customWidth="1"/>
    <col min="3074" max="3076" width="15.140625" style="231" customWidth="1"/>
    <col min="3077" max="3077" width="2.85546875" style="231" customWidth="1"/>
    <col min="3078" max="3327" width="11.42578125" style="231"/>
    <col min="3328" max="3328" width="4.140625" style="231" customWidth="1"/>
    <col min="3329" max="3329" width="8.42578125" style="231" customWidth="1"/>
    <col min="3330" max="3332" width="15.140625" style="231" customWidth="1"/>
    <col min="3333" max="3333" width="2.85546875" style="231" customWidth="1"/>
    <col min="3334" max="3583" width="11.42578125" style="231"/>
    <col min="3584" max="3584" width="4.140625" style="231" customWidth="1"/>
    <col min="3585" max="3585" width="8.42578125" style="231" customWidth="1"/>
    <col min="3586" max="3588" width="15.140625" style="231" customWidth="1"/>
    <col min="3589" max="3589" width="2.85546875" style="231" customWidth="1"/>
    <col min="3590" max="3839" width="11.42578125" style="231"/>
    <col min="3840" max="3840" width="4.140625" style="231" customWidth="1"/>
    <col min="3841" max="3841" width="8.42578125" style="231" customWidth="1"/>
    <col min="3842" max="3844" width="15.140625" style="231" customWidth="1"/>
    <col min="3845" max="3845" width="2.85546875" style="231" customWidth="1"/>
    <col min="3846" max="4095" width="11.42578125" style="231"/>
    <col min="4096" max="4096" width="4.140625" style="231" customWidth="1"/>
    <col min="4097" max="4097" width="8.42578125" style="231" customWidth="1"/>
    <col min="4098" max="4100" width="15.140625" style="231" customWidth="1"/>
    <col min="4101" max="4101" width="2.85546875" style="231" customWidth="1"/>
    <col min="4102" max="4351" width="11.42578125" style="231"/>
    <col min="4352" max="4352" width="4.140625" style="231" customWidth="1"/>
    <col min="4353" max="4353" width="8.42578125" style="231" customWidth="1"/>
    <col min="4354" max="4356" width="15.140625" style="231" customWidth="1"/>
    <col min="4357" max="4357" width="2.85546875" style="231" customWidth="1"/>
    <col min="4358" max="4607" width="11.42578125" style="231"/>
    <col min="4608" max="4608" width="4.140625" style="231" customWidth="1"/>
    <col min="4609" max="4609" width="8.42578125" style="231" customWidth="1"/>
    <col min="4610" max="4612" width="15.140625" style="231" customWidth="1"/>
    <col min="4613" max="4613" width="2.85546875" style="231" customWidth="1"/>
    <col min="4614" max="4863" width="11.42578125" style="231"/>
    <col min="4864" max="4864" width="4.140625" style="231" customWidth="1"/>
    <col min="4865" max="4865" width="8.42578125" style="231" customWidth="1"/>
    <col min="4866" max="4868" width="15.140625" style="231" customWidth="1"/>
    <col min="4869" max="4869" width="2.85546875" style="231" customWidth="1"/>
    <col min="4870" max="5119" width="11.42578125" style="231"/>
    <col min="5120" max="5120" width="4.140625" style="231" customWidth="1"/>
    <col min="5121" max="5121" width="8.42578125" style="231" customWidth="1"/>
    <col min="5122" max="5124" width="15.140625" style="231" customWidth="1"/>
    <col min="5125" max="5125" width="2.85546875" style="231" customWidth="1"/>
    <col min="5126" max="5375" width="11.42578125" style="231"/>
    <col min="5376" max="5376" width="4.140625" style="231" customWidth="1"/>
    <col min="5377" max="5377" width="8.42578125" style="231" customWidth="1"/>
    <col min="5378" max="5380" width="15.140625" style="231" customWidth="1"/>
    <col min="5381" max="5381" width="2.85546875" style="231" customWidth="1"/>
    <col min="5382" max="5631" width="11.42578125" style="231"/>
    <col min="5632" max="5632" width="4.140625" style="231" customWidth="1"/>
    <col min="5633" max="5633" width="8.42578125" style="231" customWidth="1"/>
    <col min="5634" max="5636" width="15.140625" style="231" customWidth="1"/>
    <col min="5637" max="5637" width="2.85546875" style="231" customWidth="1"/>
    <col min="5638" max="5887" width="11.42578125" style="231"/>
    <col min="5888" max="5888" width="4.140625" style="231" customWidth="1"/>
    <col min="5889" max="5889" width="8.42578125" style="231" customWidth="1"/>
    <col min="5890" max="5892" width="15.140625" style="231" customWidth="1"/>
    <col min="5893" max="5893" width="2.85546875" style="231" customWidth="1"/>
    <col min="5894" max="6143" width="11.42578125" style="231"/>
    <col min="6144" max="6144" width="4.140625" style="231" customWidth="1"/>
    <col min="6145" max="6145" width="8.42578125" style="231" customWidth="1"/>
    <col min="6146" max="6148" width="15.140625" style="231" customWidth="1"/>
    <col min="6149" max="6149" width="2.85546875" style="231" customWidth="1"/>
    <col min="6150" max="6399" width="11.42578125" style="231"/>
    <col min="6400" max="6400" width="4.140625" style="231" customWidth="1"/>
    <col min="6401" max="6401" width="8.42578125" style="231" customWidth="1"/>
    <col min="6402" max="6404" width="15.140625" style="231" customWidth="1"/>
    <col min="6405" max="6405" width="2.85546875" style="231" customWidth="1"/>
    <col min="6406" max="6655" width="11.42578125" style="231"/>
    <col min="6656" max="6656" width="4.140625" style="231" customWidth="1"/>
    <col min="6657" max="6657" width="8.42578125" style="231" customWidth="1"/>
    <col min="6658" max="6660" width="15.140625" style="231" customWidth="1"/>
    <col min="6661" max="6661" width="2.85546875" style="231" customWidth="1"/>
    <col min="6662" max="6911" width="11.42578125" style="231"/>
    <col min="6912" max="6912" width="4.140625" style="231" customWidth="1"/>
    <col min="6913" max="6913" width="8.42578125" style="231" customWidth="1"/>
    <col min="6914" max="6916" width="15.140625" style="231" customWidth="1"/>
    <col min="6917" max="6917" width="2.85546875" style="231" customWidth="1"/>
    <col min="6918" max="7167" width="11.42578125" style="231"/>
    <col min="7168" max="7168" width="4.140625" style="231" customWidth="1"/>
    <col min="7169" max="7169" width="8.42578125" style="231" customWidth="1"/>
    <col min="7170" max="7172" width="15.140625" style="231" customWidth="1"/>
    <col min="7173" max="7173" width="2.85546875" style="231" customWidth="1"/>
    <col min="7174" max="7423" width="11.42578125" style="231"/>
    <col min="7424" max="7424" width="4.140625" style="231" customWidth="1"/>
    <col min="7425" max="7425" width="8.42578125" style="231" customWidth="1"/>
    <col min="7426" max="7428" width="15.140625" style="231" customWidth="1"/>
    <col min="7429" max="7429" width="2.85546875" style="231" customWidth="1"/>
    <col min="7430" max="7679" width="11.42578125" style="231"/>
    <col min="7680" max="7680" width="4.140625" style="231" customWidth="1"/>
    <col min="7681" max="7681" width="8.42578125" style="231" customWidth="1"/>
    <col min="7682" max="7684" width="15.140625" style="231" customWidth="1"/>
    <col min="7685" max="7685" width="2.85546875" style="231" customWidth="1"/>
    <col min="7686" max="7935" width="11.42578125" style="231"/>
    <col min="7936" max="7936" width="4.140625" style="231" customWidth="1"/>
    <col min="7937" max="7937" width="8.42578125" style="231" customWidth="1"/>
    <col min="7938" max="7940" width="15.140625" style="231" customWidth="1"/>
    <col min="7941" max="7941" width="2.85546875" style="231" customWidth="1"/>
    <col min="7942" max="8191" width="11.42578125" style="231"/>
    <col min="8192" max="8192" width="4.140625" style="231" customWidth="1"/>
    <col min="8193" max="8193" width="8.42578125" style="231" customWidth="1"/>
    <col min="8194" max="8196" width="15.140625" style="231" customWidth="1"/>
    <col min="8197" max="8197" width="2.85546875" style="231" customWidth="1"/>
    <col min="8198" max="8447" width="11.42578125" style="231"/>
    <col min="8448" max="8448" width="4.140625" style="231" customWidth="1"/>
    <col min="8449" max="8449" width="8.42578125" style="231" customWidth="1"/>
    <col min="8450" max="8452" width="15.140625" style="231" customWidth="1"/>
    <col min="8453" max="8453" width="2.85546875" style="231" customWidth="1"/>
    <col min="8454" max="8703" width="11.42578125" style="231"/>
    <col min="8704" max="8704" width="4.140625" style="231" customWidth="1"/>
    <col min="8705" max="8705" width="8.42578125" style="231" customWidth="1"/>
    <col min="8706" max="8708" width="15.140625" style="231" customWidth="1"/>
    <col min="8709" max="8709" width="2.85546875" style="231" customWidth="1"/>
    <col min="8710" max="8959" width="11.42578125" style="231"/>
    <col min="8960" max="8960" width="4.140625" style="231" customWidth="1"/>
    <col min="8961" max="8961" width="8.42578125" style="231" customWidth="1"/>
    <col min="8962" max="8964" width="15.140625" style="231" customWidth="1"/>
    <col min="8965" max="8965" width="2.85546875" style="231" customWidth="1"/>
    <col min="8966" max="9215" width="11.42578125" style="231"/>
    <col min="9216" max="9216" width="4.140625" style="231" customWidth="1"/>
    <col min="9217" max="9217" width="8.42578125" style="231" customWidth="1"/>
    <col min="9218" max="9220" width="15.140625" style="231" customWidth="1"/>
    <col min="9221" max="9221" width="2.85546875" style="231" customWidth="1"/>
    <col min="9222" max="9471" width="11.42578125" style="231"/>
    <col min="9472" max="9472" width="4.140625" style="231" customWidth="1"/>
    <col min="9473" max="9473" width="8.42578125" style="231" customWidth="1"/>
    <col min="9474" max="9476" width="15.140625" style="231" customWidth="1"/>
    <col min="9477" max="9477" width="2.85546875" style="231" customWidth="1"/>
    <col min="9478" max="9727" width="11.42578125" style="231"/>
    <col min="9728" max="9728" width="4.140625" style="231" customWidth="1"/>
    <col min="9729" max="9729" width="8.42578125" style="231" customWidth="1"/>
    <col min="9730" max="9732" width="15.140625" style="231" customWidth="1"/>
    <col min="9733" max="9733" width="2.85546875" style="231" customWidth="1"/>
    <col min="9734" max="9983" width="11.42578125" style="231"/>
    <col min="9984" max="9984" width="4.140625" style="231" customWidth="1"/>
    <col min="9985" max="9985" width="8.42578125" style="231" customWidth="1"/>
    <col min="9986" max="9988" width="15.140625" style="231" customWidth="1"/>
    <col min="9989" max="9989" width="2.85546875" style="231" customWidth="1"/>
    <col min="9990" max="10239" width="11.42578125" style="231"/>
    <col min="10240" max="10240" width="4.140625" style="231" customWidth="1"/>
    <col min="10241" max="10241" width="8.42578125" style="231" customWidth="1"/>
    <col min="10242" max="10244" width="15.140625" style="231" customWidth="1"/>
    <col min="10245" max="10245" width="2.85546875" style="231" customWidth="1"/>
    <col min="10246" max="10495" width="11.42578125" style="231"/>
    <col min="10496" max="10496" width="4.140625" style="231" customWidth="1"/>
    <col min="10497" max="10497" width="8.42578125" style="231" customWidth="1"/>
    <col min="10498" max="10500" width="15.140625" style="231" customWidth="1"/>
    <col min="10501" max="10501" width="2.85546875" style="231" customWidth="1"/>
    <col min="10502" max="10751" width="11.42578125" style="231"/>
    <col min="10752" max="10752" width="4.140625" style="231" customWidth="1"/>
    <col min="10753" max="10753" width="8.42578125" style="231" customWidth="1"/>
    <col min="10754" max="10756" width="15.140625" style="231" customWidth="1"/>
    <col min="10757" max="10757" width="2.85546875" style="231" customWidth="1"/>
    <col min="10758" max="11007" width="11.42578125" style="231"/>
    <col min="11008" max="11008" width="4.140625" style="231" customWidth="1"/>
    <col min="11009" max="11009" width="8.42578125" style="231" customWidth="1"/>
    <col min="11010" max="11012" width="15.140625" style="231" customWidth="1"/>
    <col min="11013" max="11013" width="2.85546875" style="231" customWidth="1"/>
    <col min="11014" max="11263" width="11.42578125" style="231"/>
    <col min="11264" max="11264" width="4.140625" style="231" customWidth="1"/>
    <col min="11265" max="11265" width="8.42578125" style="231" customWidth="1"/>
    <col min="11266" max="11268" width="15.140625" style="231" customWidth="1"/>
    <col min="11269" max="11269" width="2.85546875" style="231" customWidth="1"/>
    <col min="11270" max="11519" width="11.42578125" style="231"/>
    <col min="11520" max="11520" width="4.140625" style="231" customWidth="1"/>
    <col min="11521" max="11521" width="8.42578125" style="231" customWidth="1"/>
    <col min="11522" max="11524" width="15.140625" style="231" customWidth="1"/>
    <col min="11525" max="11525" width="2.85546875" style="231" customWidth="1"/>
    <col min="11526" max="11775" width="11.42578125" style="231"/>
    <col min="11776" max="11776" width="4.140625" style="231" customWidth="1"/>
    <col min="11777" max="11777" width="8.42578125" style="231" customWidth="1"/>
    <col min="11778" max="11780" width="15.140625" style="231" customWidth="1"/>
    <col min="11781" max="11781" width="2.85546875" style="231" customWidth="1"/>
    <col min="11782" max="12031" width="11.42578125" style="231"/>
    <col min="12032" max="12032" width="4.140625" style="231" customWidth="1"/>
    <col min="12033" max="12033" width="8.42578125" style="231" customWidth="1"/>
    <col min="12034" max="12036" width="15.140625" style="231" customWidth="1"/>
    <col min="12037" max="12037" width="2.85546875" style="231" customWidth="1"/>
    <col min="12038" max="12287" width="11.42578125" style="231"/>
    <col min="12288" max="12288" width="4.140625" style="231" customWidth="1"/>
    <col min="12289" max="12289" width="8.42578125" style="231" customWidth="1"/>
    <col min="12290" max="12292" width="15.140625" style="231" customWidth="1"/>
    <col min="12293" max="12293" width="2.85546875" style="231" customWidth="1"/>
    <col min="12294" max="12543" width="11.42578125" style="231"/>
    <col min="12544" max="12544" width="4.140625" style="231" customWidth="1"/>
    <col min="12545" max="12545" width="8.42578125" style="231" customWidth="1"/>
    <col min="12546" max="12548" width="15.140625" style="231" customWidth="1"/>
    <col min="12549" max="12549" width="2.85546875" style="231" customWidth="1"/>
    <col min="12550" max="12799" width="11.42578125" style="231"/>
    <col min="12800" max="12800" width="4.140625" style="231" customWidth="1"/>
    <col min="12801" max="12801" width="8.42578125" style="231" customWidth="1"/>
    <col min="12802" max="12804" width="15.140625" style="231" customWidth="1"/>
    <col min="12805" max="12805" width="2.85546875" style="231" customWidth="1"/>
    <col min="12806" max="13055" width="11.42578125" style="231"/>
    <col min="13056" max="13056" width="4.140625" style="231" customWidth="1"/>
    <col min="13057" max="13057" width="8.42578125" style="231" customWidth="1"/>
    <col min="13058" max="13060" width="15.140625" style="231" customWidth="1"/>
    <col min="13061" max="13061" width="2.85546875" style="231" customWidth="1"/>
    <col min="13062" max="13311" width="11.42578125" style="231"/>
    <col min="13312" max="13312" width="4.140625" style="231" customWidth="1"/>
    <col min="13313" max="13313" width="8.42578125" style="231" customWidth="1"/>
    <col min="13314" max="13316" width="15.140625" style="231" customWidth="1"/>
    <col min="13317" max="13317" width="2.85546875" style="231" customWidth="1"/>
    <col min="13318" max="13567" width="11.42578125" style="231"/>
    <col min="13568" max="13568" width="4.140625" style="231" customWidth="1"/>
    <col min="13569" max="13569" width="8.42578125" style="231" customWidth="1"/>
    <col min="13570" max="13572" width="15.140625" style="231" customWidth="1"/>
    <col min="13573" max="13573" width="2.85546875" style="231" customWidth="1"/>
    <col min="13574" max="13823" width="11.42578125" style="231"/>
    <col min="13824" max="13824" width="4.140625" style="231" customWidth="1"/>
    <col min="13825" max="13825" width="8.42578125" style="231" customWidth="1"/>
    <col min="13826" max="13828" width="15.140625" style="231" customWidth="1"/>
    <col min="13829" max="13829" width="2.85546875" style="231" customWidth="1"/>
    <col min="13830" max="14079" width="11.42578125" style="231"/>
    <col min="14080" max="14080" width="4.140625" style="231" customWidth="1"/>
    <col min="14081" max="14081" width="8.42578125" style="231" customWidth="1"/>
    <col min="14082" max="14084" width="15.140625" style="231" customWidth="1"/>
    <col min="14085" max="14085" width="2.85546875" style="231" customWidth="1"/>
    <col min="14086" max="14335" width="11.42578125" style="231"/>
    <col min="14336" max="14336" width="4.140625" style="231" customWidth="1"/>
    <col min="14337" max="14337" width="8.42578125" style="231" customWidth="1"/>
    <col min="14338" max="14340" width="15.140625" style="231" customWidth="1"/>
    <col min="14341" max="14341" width="2.85546875" style="231" customWidth="1"/>
    <col min="14342" max="14591" width="11.42578125" style="231"/>
    <col min="14592" max="14592" width="4.140625" style="231" customWidth="1"/>
    <col min="14593" max="14593" width="8.42578125" style="231" customWidth="1"/>
    <col min="14594" max="14596" width="15.140625" style="231" customWidth="1"/>
    <col min="14597" max="14597" width="2.85546875" style="231" customWidth="1"/>
    <col min="14598" max="14847" width="11.42578125" style="231"/>
    <col min="14848" max="14848" width="4.140625" style="231" customWidth="1"/>
    <col min="14849" max="14849" width="8.42578125" style="231" customWidth="1"/>
    <col min="14850" max="14852" width="15.140625" style="231" customWidth="1"/>
    <col min="14853" max="14853" width="2.85546875" style="231" customWidth="1"/>
    <col min="14854" max="15103" width="11.42578125" style="231"/>
    <col min="15104" max="15104" width="4.140625" style="231" customWidth="1"/>
    <col min="15105" max="15105" width="8.42578125" style="231" customWidth="1"/>
    <col min="15106" max="15108" width="15.140625" style="231" customWidth="1"/>
    <col min="15109" max="15109" width="2.85546875" style="231" customWidth="1"/>
    <col min="15110" max="15359" width="11.42578125" style="231"/>
    <col min="15360" max="15360" width="4.140625" style="231" customWidth="1"/>
    <col min="15361" max="15361" width="8.42578125" style="231" customWidth="1"/>
    <col min="15362" max="15364" width="15.140625" style="231" customWidth="1"/>
    <col min="15365" max="15365" width="2.85546875" style="231" customWidth="1"/>
    <col min="15366" max="15615" width="11.42578125" style="231"/>
    <col min="15616" max="15616" width="4.140625" style="231" customWidth="1"/>
    <col min="15617" max="15617" width="8.42578125" style="231" customWidth="1"/>
    <col min="15618" max="15620" width="15.140625" style="231" customWidth="1"/>
    <col min="15621" max="15621" width="2.85546875" style="231" customWidth="1"/>
    <col min="15622" max="15871" width="11.42578125" style="231"/>
    <col min="15872" max="15872" width="4.140625" style="231" customWidth="1"/>
    <col min="15873" max="15873" width="8.42578125" style="231" customWidth="1"/>
    <col min="15874" max="15876" width="15.140625" style="231" customWidth="1"/>
    <col min="15877" max="15877" width="2.85546875" style="231" customWidth="1"/>
    <col min="15878" max="16127" width="11.42578125" style="231"/>
    <col min="16128" max="16128" width="4.140625" style="231" customWidth="1"/>
    <col min="16129" max="16129" width="8.42578125" style="231" customWidth="1"/>
    <col min="16130" max="16132" width="15.140625" style="231" customWidth="1"/>
    <col min="16133" max="16133" width="2.85546875" style="231" customWidth="1"/>
    <col min="16134" max="16384" width="11.42578125" style="231"/>
  </cols>
  <sheetData>
    <row r="2" spans="2:5" ht="12.75" customHeight="1" x14ac:dyDescent="0.25">
      <c r="B2" s="677" t="s">
        <v>16</v>
      </c>
      <c r="C2" s="677"/>
      <c r="D2" s="677"/>
      <c r="E2" s="677"/>
    </row>
    <row r="3" spans="2:5" x14ac:dyDescent="0.25">
      <c r="B3" s="232" t="s">
        <v>1</v>
      </c>
      <c r="C3" s="232" t="s">
        <v>17</v>
      </c>
      <c r="D3" s="232" t="s">
        <v>18</v>
      </c>
      <c r="E3" s="232" t="s">
        <v>19</v>
      </c>
    </row>
    <row r="4" spans="2:5" x14ac:dyDescent="0.25">
      <c r="B4" s="665">
        <v>2022</v>
      </c>
      <c r="C4" s="666">
        <f>+'Analisis DX'!F38</f>
        <v>41559.626380905705</v>
      </c>
      <c r="D4" s="667">
        <f>+'Analisis OX'!C27</f>
        <v>30747.199999999721</v>
      </c>
      <c r="E4" s="666">
        <f>C4-D4</f>
        <v>10812.426380905985</v>
      </c>
    </row>
    <row r="5" spans="2:5" x14ac:dyDescent="0.25">
      <c r="B5" s="233">
        <v>2023</v>
      </c>
      <c r="C5" s="234">
        <f>+'Analisis DX'!F39</f>
        <v>42061.112640821346</v>
      </c>
      <c r="D5" s="235">
        <f>+'Analisis OX'!C28</f>
        <v>32366.799999999814</v>
      </c>
      <c r="E5" s="234">
        <f t="shared" ref="E5:E9" si="0">C5-D5</f>
        <v>9694.3126408215321</v>
      </c>
    </row>
    <row r="6" spans="2:5" x14ac:dyDescent="0.25">
      <c r="B6" s="233">
        <v>2024</v>
      </c>
      <c r="C6" s="234">
        <f>+'Analisis DX'!F40</f>
        <v>42568.650169499117</v>
      </c>
      <c r="D6" s="235">
        <f>+'Analisis OX'!C29</f>
        <v>33986.399999999907</v>
      </c>
      <c r="E6" s="234">
        <f t="shared" si="0"/>
        <v>8582.2501694992097</v>
      </c>
    </row>
    <row r="7" spans="2:5" x14ac:dyDescent="0.25">
      <c r="B7" s="233">
        <v>2025</v>
      </c>
      <c r="C7" s="234">
        <f>+'Analisis DX'!F41</f>
        <v>43082.311985596854</v>
      </c>
      <c r="D7" s="235">
        <f>+'Analisis OX'!C30</f>
        <v>35606</v>
      </c>
      <c r="E7" s="234">
        <f t="shared" si="0"/>
        <v>7476.3119855968544</v>
      </c>
    </row>
    <row r="8" spans="2:5" x14ac:dyDescent="0.25">
      <c r="B8" s="233">
        <v>2026</v>
      </c>
      <c r="C8" s="234">
        <f>+'Analisis DX'!F42</f>
        <v>43602.171988864422</v>
      </c>
      <c r="D8" s="235">
        <f>+'Analisis OX'!C31</f>
        <v>37225.599999999627</v>
      </c>
      <c r="E8" s="234">
        <f t="shared" si="0"/>
        <v>6376.5719888647945</v>
      </c>
    </row>
    <row r="9" spans="2:5" x14ac:dyDescent="0.25">
      <c r="B9" s="233">
        <v>2027</v>
      </c>
      <c r="C9" s="234">
        <f>+'Analisis DX'!F43</f>
        <v>44128.304970775454</v>
      </c>
      <c r="D9" s="235">
        <f>+'Analisis OX'!C32</f>
        <v>38845.199999999721</v>
      </c>
      <c r="E9" s="234">
        <f t="shared" si="0"/>
        <v>5283.1049707757338</v>
      </c>
    </row>
    <row r="10" spans="2:5" x14ac:dyDescent="0.25">
      <c r="E10" s="236">
        <f>SUM(E4:E9)</f>
        <v>48224.978136464109</v>
      </c>
    </row>
    <row r="11" spans="2:5" x14ac:dyDescent="0.25">
      <c r="B11" s="237"/>
      <c r="C11" s="238"/>
      <c r="D11" s="239"/>
      <c r="E11" s="240"/>
    </row>
    <row r="12" spans="2:5" x14ac:dyDescent="0.25">
      <c r="B12" s="237"/>
      <c r="C12" s="238"/>
      <c r="D12" s="239"/>
      <c r="E12" s="240"/>
    </row>
  </sheetData>
  <mergeCells count="1">
    <mergeCell ref="B2:E2"/>
  </mergeCells>
  <pageMargins left="0.7" right="0.7" top="0.75" bottom="0.75" header="0.3" footer="0.3"/>
  <pageSetup paperSize="9" scale="57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N113"/>
  <sheetViews>
    <sheetView zoomScaleNormal="100" zoomScaleSheetLayoutView="100" workbookViewId="0">
      <selection activeCell="B6" sqref="B6"/>
    </sheetView>
  </sheetViews>
  <sheetFormatPr baseColWidth="10" defaultRowHeight="11.25" x14ac:dyDescent="0.25"/>
  <cols>
    <col min="1" max="1" width="4.42578125" style="203" customWidth="1"/>
    <col min="2" max="2" width="52.85546875" style="203" customWidth="1"/>
    <col min="3" max="3" width="11.42578125" style="203" customWidth="1"/>
    <col min="4" max="4" width="11.140625" style="203" customWidth="1"/>
    <col min="5" max="6" width="13.140625" style="203" bestFit="1" customWidth="1"/>
    <col min="7" max="7" width="11.28515625" style="203" customWidth="1"/>
    <col min="8" max="256" width="11.42578125" style="203"/>
    <col min="257" max="257" width="4.42578125" style="203" customWidth="1"/>
    <col min="258" max="258" width="40.140625" style="203" customWidth="1"/>
    <col min="259" max="259" width="7.85546875" style="203" customWidth="1"/>
    <col min="260" max="260" width="11.140625" style="203" customWidth="1"/>
    <col min="261" max="261" width="10.42578125" style="203" customWidth="1"/>
    <col min="262" max="262" width="11.140625" style="203" customWidth="1"/>
    <col min="263" max="263" width="11.28515625" style="203" customWidth="1"/>
    <col min="264" max="512" width="11.42578125" style="203"/>
    <col min="513" max="513" width="4.42578125" style="203" customWidth="1"/>
    <col min="514" max="514" width="40.140625" style="203" customWidth="1"/>
    <col min="515" max="515" width="7.85546875" style="203" customWidth="1"/>
    <col min="516" max="516" width="11.140625" style="203" customWidth="1"/>
    <col min="517" max="517" width="10.42578125" style="203" customWidth="1"/>
    <col min="518" max="518" width="11.140625" style="203" customWidth="1"/>
    <col min="519" max="519" width="11.28515625" style="203" customWidth="1"/>
    <col min="520" max="768" width="11.42578125" style="203"/>
    <col min="769" max="769" width="4.42578125" style="203" customWidth="1"/>
    <col min="770" max="770" width="40.140625" style="203" customWidth="1"/>
    <col min="771" max="771" width="7.85546875" style="203" customWidth="1"/>
    <col min="772" max="772" width="11.140625" style="203" customWidth="1"/>
    <col min="773" max="773" width="10.42578125" style="203" customWidth="1"/>
    <col min="774" max="774" width="11.140625" style="203" customWidth="1"/>
    <col min="775" max="775" width="11.28515625" style="203" customWidth="1"/>
    <col min="776" max="1024" width="11.42578125" style="203"/>
    <col min="1025" max="1025" width="4.42578125" style="203" customWidth="1"/>
    <col min="1026" max="1026" width="40.140625" style="203" customWidth="1"/>
    <col min="1027" max="1027" width="7.85546875" style="203" customWidth="1"/>
    <col min="1028" max="1028" width="11.140625" style="203" customWidth="1"/>
    <col min="1029" max="1029" width="10.42578125" style="203" customWidth="1"/>
    <col min="1030" max="1030" width="11.140625" style="203" customWidth="1"/>
    <col min="1031" max="1031" width="11.28515625" style="203" customWidth="1"/>
    <col min="1032" max="1280" width="11.42578125" style="203"/>
    <col min="1281" max="1281" width="4.42578125" style="203" customWidth="1"/>
    <col min="1282" max="1282" width="40.140625" style="203" customWidth="1"/>
    <col min="1283" max="1283" width="7.85546875" style="203" customWidth="1"/>
    <col min="1284" max="1284" width="11.140625" style="203" customWidth="1"/>
    <col min="1285" max="1285" width="10.42578125" style="203" customWidth="1"/>
    <col min="1286" max="1286" width="11.140625" style="203" customWidth="1"/>
    <col min="1287" max="1287" width="11.28515625" style="203" customWidth="1"/>
    <col min="1288" max="1536" width="11.42578125" style="203"/>
    <col min="1537" max="1537" width="4.42578125" style="203" customWidth="1"/>
    <col min="1538" max="1538" width="40.140625" style="203" customWidth="1"/>
    <col min="1539" max="1539" width="7.85546875" style="203" customWidth="1"/>
    <col min="1540" max="1540" width="11.140625" style="203" customWidth="1"/>
    <col min="1541" max="1541" width="10.42578125" style="203" customWidth="1"/>
    <col min="1542" max="1542" width="11.140625" style="203" customWidth="1"/>
    <col min="1543" max="1543" width="11.28515625" style="203" customWidth="1"/>
    <col min="1544" max="1792" width="11.42578125" style="203"/>
    <col min="1793" max="1793" width="4.42578125" style="203" customWidth="1"/>
    <col min="1794" max="1794" width="40.140625" style="203" customWidth="1"/>
    <col min="1795" max="1795" width="7.85546875" style="203" customWidth="1"/>
    <col min="1796" max="1796" width="11.140625" style="203" customWidth="1"/>
    <col min="1797" max="1797" width="10.42578125" style="203" customWidth="1"/>
    <col min="1798" max="1798" width="11.140625" style="203" customWidth="1"/>
    <col min="1799" max="1799" width="11.28515625" style="203" customWidth="1"/>
    <col min="1800" max="2048" width="11.42578125" style="203"/>
    <col min="2049" max="2049" width="4.42578125" style="203" customWidth="1"/>
    <col min="2050" max="2050" width="40.140625" style="203" customWidth="1"/>
    <col min="2051" max="2051" width="7.85546875" style="203" customWidth="1"/>
    <col min="2052" max="2052" width="11.140625" style="203" customWidth="1"/>
    <col min="2053" max="2053" width="10.42578125" style="203" customWidth="1"/>
    <col min="2054" max="2054" width="11.140625" style="203" customWidth="1"/>
    <col min="2055" max="2055" width="11.28515625" style="203" customWidth="1"/>
    <col min="2056" max="2304" width="11.42578125" style="203"/>
    <col min="2305" max="2305" width="4.42578125" style="203" customWidth="1"/>
    <col min="2306" max="2306" width="40.140625" style="203" customWidth="1"/>
    <col min="2307" max="2307" width="7.85546875" style="203" customWidth="1"/>
    <col min="2308" max="2308" width="11.140625" style="203" customWidth="1"/>
    <col min="2309" max="2309" width="10.42578125" style="203" customWidth="1"/>
    <col min="2310" max="2310" width="11.140625" style="203" customWidth="1"/>
    <col min="2311" max="2311" width="11.28515625" style="203" customWidth="1"/>
    <col min="2312" max="2560" width="11.42578125" style="203"/>
    <col min="2561" max="2561" width="4.42578125" style="203" customWidth="1"/>
    <col min="2562" max="2562" width="40.140625" style="203" customWidth="1"/>
    <col min="2563" max="2563" width="7.85546875" style="203" customWidth="1"/>
    <col min="2564" max="2564" width="11.140625" style="203" customWidth="1"/>
    <col min="2565" max="2565" width="10.42578125" style="203" customWidth="1"/>
    <col min="2566" max="2566" width="11.140625" style="203" customWidth="1"/>
    <col min="2567" max="2567" width="11.28515625" style="203" customWidth="1"/>
    <col min="2568" max="2816" width="11.42578125" style="203"/>
    <col min="2817" max="2817" width="4.42578125" style="203" customWidth="1"/>
    <col min="2818" max="2818" width="40.140625" style="203" customWidth="1"/>
    <col min="2819" max="2819" width="7.85546875" style="203" customWidth="1"/>
    <col min="2820" max="2820" width="11.140625" style="203" customWidth="1"/>
    <col min="2821" max="2821" width="10.42578125" style="203" customWidth="1"/>
    <col min="2822" max="2822" width="11.140625" style="203" customWidth="1"/>
    <col min="2823" max="2823" width="11.28515625" style="203" customWidth="1"/>
    <col min="2824" max="3072" width="11.42578125" style="203"/>
    <col min="3073" max="3073" width="4.42578125" style="203" customWidth="1"/>
    <col min="3074" max="3074" width="40.140625" style="203" customWidth="1"/>
    <col min="3075" max="3075" width="7.85546875" style="203" customWidth="1"/>
    <col min="3076" max="3076" width="11.140625" style="203" customWidth="1"/>
    <col min="3077" max="3077" width="10.42578125" style="203" customWidth="1"/>
    <col min="3078" max="3078" width="11.140625" style="203" customWidth="1"/>
    <col min="3079" max="3079" width="11.28515625" style="203" customWidth="1"/>
    <col min="3080" max="3328" width="11.42578125" style="203"/>
    <col min="3329" max="3329" width="4.42578125" style="203" customWidth="1"/>
    <col min="3330" max="3330" width="40.140625" style="203" customWidth="1"/>
    <col min="3331" max="3331" width="7.85546875" style="203" customWidth="1"/>
    <col min="3332" max="3332" width="11.140625" style="203" customWidth="1"/>
    <col min="3333" max="3333" width="10.42578125" style="203" customWidth="1"/>
    <col min="3334" max="3334" width="11.140625" style="203" customWidth="1"/>
    <col min="3335" max="3335" width="11.28515625" style="203" customWidth="1"/>
    <col min="3336" max="3584" width="11.42578125" style="203"/>
    <col min="3585" max="3585" width="4.42578125" style="203" customWidth="1"/>
    <col min="3586" max="3586" width="40.140625" style="203" customWidth="1"/>
    <col min="3587" max="3587" width="7.85546875" style="203" customWidth="1"/>
    <col min="3588" max="3588" width="11.140625" style="203" customWidth="1"/>
    <col min="3589" max="3589" width="10.42578125" style="203" customWidth="1"/>
    <col min="3590" max="3590" width="11.140625" style="203" customWidth="1"/>
    <col min="3591" max="3591" width="11.28515625" style="203" customWidth="1"/>
    <col min="3592" max="3840" width="11.42578125" style="203"/>
    <col min="3841" max="3841" width="4.42578125" style="203" customWidth="1"/>
    <col min="3842" max="3842" width="40.140625" style="203" customWidth="1"/>
    <col min="3843" max="3843" width="7.85546875" style="203" customWidth="1"/>
    <col min="3844" max="3844" width="11.140625" style="203" customWidth="1"/>
    <col min="3845" max="3845" width="10.42578125" style="203" customWidth="1"/>
    <col min="3846" max="3846" width="11.140625" style="203" customWidth="1"/>
    <col min="3847" max="3847" width="11.28515625" style="203" customWidth="1"/>
    <col min="3848" max="4096" width="11.42578125" style="203"/>
    <col min="4097" max="4097" width="4.42578125" style="203" customWidth="1"/>
    <col min="4098" max="4098" width="40.140625" style="203" customWidth="1"/>
    <col min="4099" max="4099" width="7.85546875" style="203" customWidth="1"/>
    <col min="4100" max="4100" width="11.140625" style="203" customWidth="1"/>
    <col min="4101" max="4101" width="10.42578125" style="203" customWidth="1"/>
    <col min="4102" max="4102" width="11.140625" style="203" customWidth="1"/>
    <col min="4103" max="4103" width="11.28515625" style="203" customWidth="1"/>
    <col min="4104" max="4352" width="11.42578125" style="203"/>
    <col min="4353" max="4353" width="4.42578125" style="203" customWidth="1"/>
    <col min="4354" max="4354" width="40.140625" style="203" customWidth="1"/>
    <col min="4355" max="4355" width="7.85546875" style="203" customWidth="1"/>
    <col min="4356" max="4356" width="11.140625" style="203" customWidth="1"/>
    <col min="4357" max="4357" width="10.42578125" style="203" customWidth="1"/>
    <col min="4358" max="4358" width="11.140625" style="203" customWidth="1"/>
    <col min="4359" max="4359" width="11.28515625" style="203" customWidth="1"/>
    <col min="4360" max="4608" width="11.42578125" style="203"/>
    <col min="4609" max="4609" width="4.42578125" style="203" customWidth="1"/>
    <col min="4610" max="4610" width="40.140625" style="203" customWidth="1"/>
    <col min="4611" max="4611" width="7.85546875" style="203" customWidth="1"/>
    <col min="4612" max="4612" width="11.140625" style="203" customWidth="1"/>
    <col min="4613" max="4613" width="10.42578125" style="203" customWidth="1"/>
    <col min="4614" max="4614" width="11.140625" style="203" customWidth="1"/>
    <col min="4615" max="4615" width="11.28515625" style="203" customWidth="1"/>
    <col min="4616" max="4864" width="11.42578125" style="203"/>
    <col min="4865" max="4865" width="4.42578125" style="203" customWidth="1"/>
    <col min="4866" max="4866" width="40.140625" style="203" customWidth="1"/>
    <col min="4867" max="4867" width="7.85546875" style="203" customWidth="1"/>
    <col min="4868" max="4868" width="11.140625" style="203" customWidth="1"/>
    <col min="4869" max="4869" width="10.42578125" style="203" customWidth="1"/>
    <col min="4870" max="4870" width="11.140625" style="203" customWidth="1"/>
    <col min="4871" max="4871" width="11.28515625" style="203" customWidth="1"/>
    <col min="4872" max="5120" width="11.42578125" style="203"/>
    <col min="5121" max="5121" width="4.42578125" style="203" customWidth="1"/>
    <col min="5122" max="5122" width="40.140625" style="203" customWidth="1"/>
    <col min="5123" max="5123" width="7.85546875" style="203" customWidth="1"/>
    <col min="5124" max="5124" width="11.140625" style="203" customWidth="1"/>
    <col min="5125" max="5125" width="10.42578125" style="203" customWidth="1"/>
    <col min="5126" max="5126" width="11.140625" style="203" customWidth="1"/>
    <col min="5127" max="5127" width="11.28515625" style="203" customWidth="1"/>
    <col min="5128" max="5376" width="11.42578125" style="203"/>
    <col min="5377" max="5377" width="4.42578125" style="203" customWidth="1"/>
    <col min="5378" max="5378" width="40.140625" style="203" customWidth="1"/>
    <col min="5379" max="5379" width="7.85546875" style="203" customWidth="1"/>
    <col min="5380" max="5380" width="11.140625" style="203" customWidth="1"/>
    <col min="5381" max="5381" width="10.42578125" style="203" customWidth="1"/>
    <col min="5382" max="5382" width="11.140625" style="203" customWidth="1"/>
    <col min="5383" max="5383" width="11.28515625" style="203" customWidth="1"/>
    <col min="5384" max="5632" width="11.42578125" style="203"/>
    <col min="5633" max="5633" width="4.42578125" style="203" customWidth="1"/>
    <col min="5634" max="5634" width="40.140625" style="203" customWidth="1"/>
    <col min="5635" max="5635" width="7.85546875" style="203" customWidth="1"/>
    <col min="5636" max="5636" width="11.140625" style="203" customWidth="1"/>
    <col min="5637" max="5637" width="10.42578125" style="203" customWidth="1"/>
    <col min="5638" max="5638" width="11.140625" style="203" customWidth="1"/>
    <col min="5639" max="5639" width="11.28515625" style="203" customWidth="1"/>
    <col min="5640" max="5888" width="11.42578125" style="203"/>
    <col min="5889" max="5889" width="4.42578125" style="203" customWidth="1"/>
    <col min="5890" max="5890" width="40.140625" style="203" customWidth="1"/>
    <col min="5891" max="5891" width="7.85546875" style="203" customWidth="1"/>
    <col min="5892" max="5892" width="11.140625" style="203" customWidth="1"/>
    <col min="5893" max="5893" width="10.42578125" style="203" customWidth="1"/>
    <col min="5894" max="5894" width="11.140625" style="203" customWidth="1"/>
    <col min="5895" max="5895" width="11.28515625" style="203" customWidth="1"/>
    <col min="5896" max="6144" width="11.42578125" style="203"/>
    <col min="6145" max="6145" width="4.42578125" style="203" customWidth="1"/>
    <col min="6146" max="6146" width="40.140625" style="203" customWidth="1"/>
    <col min="6147" max="6147" width="7.85546875" style="203" customWidth="1"/>
    <col min="6148" max="6148" width="11.140625" style="203" customWidth="1"/>
    <col min="6149" max="6149" width="10.42578125" style="203" customWidth="1"/>
    <col min="6150" max="6150" width="11.140625" style="203" customWidth="1"/>
    <col min="6151" max="6151" width="11.28515625" style="203" customWidth="1"/>
    <col min="6152" max="6400" width="11.42578125" style="203"/>
    <col min="6401" max="6401" width="4.42578125" style="203" customWidth="1"/>
    <col min="6402" max="6402" width="40.140625" style="203" customWidth="1"/>
    <col min="6403" max="6403" width="7.85546875" style="203" customWidth="1"/>
    <col min="6404" max="6404" width="11.140625" style="203" customWidth="1"/>
    <col min="6405" max="6405" width="10.42578125" style="203" customWidth="1"/>
    <col min="6406" max="6406" width="11.140625" style="203" customWidth="1"/>
    <col min="6407" max="6407" width="11.28515625" style="203" customWidth="1"/>
    <col min="6408" max="6656" width="11.42578125" style="203"/>
    <col min="6657" max="6657" width="4.42578125" style="203" customWidth="1"/>
    <col min="6658" max="6658" width="40.140625" style="203" customWidth="1"/>
    <col min="6659" max="6659" width="7.85546875" style="203" customWidth="1"/>
    <col min="6660" max="6660" width="11.140625" style="203" customWidth="1"/>
    <col min="6661" max="6661" width="10.42578125" style="203" customWidth="1"/>
    <col min="6662" max="6662" width="11.140625" style="203" customWidth="1"/>
    <col min="6663" max="6663" width="11.28515625" style="203" customWidth="1"/>
    <col min="6664" max="6912" width="11.42578125" style="203"/>
    <col min="6913" max="6913" width="4.42578125" style="203" customWidth="1"/>
    <col min="6914" max="6914" width="40.140625" style="203" customWidth="1"/>
    <col min="6915" max="6915" width="7.85546875" style="203" customWidth="1"/>
    <col min="6916" max="6916" width="11.140625" style="203" customWidth="1"/>
    <col min="6917" max="6917" width="10.42578125" style="203" customWidth="1"/>
    <col min="6918" max="6918" width="11.140625" style="203" customWidth="1"/>
    <col min="6919" max="6919" width="11.28515625" style="203" customWidth="1"/>
    <col min="6920" max="7168" width="11.42578125" style="203"/>
    <col min="7169" max="7169" width="4.42578125" style="203" customWidth="1"/>
    <col min="7170" max="7170" width="40.140625" style="203" customWidth="1"/>
    <col min="7171" max="7171" width="7.85546875" style="203" customWidth="1"/>
    <col min="7172" max="7172" width="11.140625" style="203" customWidth="1"/>
    <col min="7173" max="7173" width="10.42578125" style="203" customWidth="1"/>
    <col min="7174" max="7174" width="11.140625" style="203" customWidth="1"/>
    <col min="7175" max="7175" width="11.28515625" style="203" customWidth="1"/>
    <col min="7176" max="7424" width="11.42578125" style="203"/>
    <col min="7425" max="7425" width="4.42578125" style="203" customWidth="1"/>
    <col min="7426" max="7426" width="40.140625" style="203" customWidth="1"/>
    <col min="7427" max="7427" width="7.85546875" style="203" customWidth="1"/>
    <col min="7428" max="7428" width="11.140625" style="203" customWidth="1"/>
    <col min="7429" max="7429" width="10.42578125" style="203" customWidth="1"/>
    <col min="7430" max="7430" width="11.140625" style="203" customWidth="1"/>
    <col min="7431" max="7431" width="11.28515625" style="203" customWidth="1"/>
    <col min="7432" max="7680" width="11.42578125" style="203"/>
    <col min="7681" max="7681" width="4.42578125" style="203" customWidth="1"/>
    <col min="7682" max="7682" width="40.140625" style="203" customWidth="1"/>
    <col min="7683" max="7683" width="7.85546875" style="203" customWidth="1"/>
    <col min="7684" max="7684" width="11.140625" style="203" customWidth="1"/>
    <col min="7685" max="7685" width="10.42578125" style="203" customWidth="1"/>
    <col min="7686" max="7686" width="11.140625" style="203" customWidth="1"/>
    <col min="7687" max="7687" width="11.28515625" style="203" customWidth="1"/>
    <col min="7688" max="7936" width="11.42578125" style="203"/>
    <col min="7937" max="7937" width="4.42578125" style="203" customWidth="1"/>
    <col min="7938" max="7938" width="40.140625" style="203" customWidth="1"/>
    <col min="7939" max="7939" width="7.85546875" style="203" customWidth="1"/>
    <col min="7940" max="7940" width="11.140625" style="203" customWidth="1"/>
    <col min="7941" max="7941" width="10.42578125" style="203" customWidth="1"/>
    <col min="7942" max="7942" width="11.140625" style="203" customWidth="1"/>
    <col min="7943" max="7943" width="11.28515625" style="203" customWidth="1"/>
    <col min="7944" max="8192" width="11.42578125" style="203"/>
    <col min="8193" max="8193" width="4.42578125" style="203" customWidth="1"/>
    <col min="8194" max="8194" width="40.140625" style="203" customWidth="1"/>
    <col min="8195" max="8195" width="7.85546875" style="203" customWidth="1"/>
    <col min="8196" max="8196" width="11.140625" style="203" customWidth="1"/>
    <col min="8197" max="8197" width="10.42578125" style="203" customWidth="1"/>
    <col min="8198" max="8198" width="11.140625" style="203" customWidth="1"/>
    <col min="8199" max="8199" width="11.28515625" style="203" customWidth="1"/>
    <col min="8200" max="8448" width="11.42578125" style="203"/>
    <col min="8449" max="8449" width="4.42578125" style="203" customWidth="1"/>
    <col min="8450" max="8450" width="40.140625" style="203" customWidth="1"/>
    <col min="8451" max="8451" width="7.85546875" style="203" customWidth="1"/>
    <col min="8452" max="8452" width="11.140625" style="203" customWidth="1"/>
    <col min="8453" max="8453" width="10.42578125" style="203" customWidth="1"/>
    <col min="8454" max="8454" width="11.140625" style="203" customWidth="1"/>
    <col min="8455" max="8455" width="11.28515625" style="203" customWidth="1"/>
    <col min="8456" max="8704" width="11.42578125" style="203"/>
    <col min="8705" max="8705" width="4.42578125" style="203" customWidth="1"/>
    <col min="8706" max="8706" width="40.140625" style="203" customWidth="1"/>
    <col min="8707" max="8707" width="7.85546875" style="203" customWidth="1"/>
    <col min="8708" max="8708" width="11.140625" style="203" customWidth="1"/>
    <col min="8709" max="8709" width="10.42578125" style="203" customWidth="1"/>
    <col min="8710" max="8710" width="11.140625" style="203" customWidth="1"/>
    <col min="8711" max="8711" width="11.28515625" style="203" customWidth="1"/>
    <col min="8712" max="8960" width="11.42578125" style="203"/>
    <col min="8961" max="8961" width="4.42578125" style="203" customWidth="1"/>
    <col min="8962" max="8962" width="40.140625" style="203" customWidth="1"/>
    <col min="8963" max="8963" width="7.85546875" style="203" customWidth="1"/>
    <col min="8964" max="8964" width="11.140625" style="203" customWidth="1"/>
    <col min="8965" max="8965" width="10.42578125" style="203" customWidth="1"/>
    <col min="8966" max="8966" width="11.140625" style="203" customWidth="1"/>
    <col min="8967" max="8967" width="11.28515625" style="203" customWidth="1"/>
    <col min="8968" max="9216" width="11.42578125" style="203"/>
    <col min="9217" max="9217" width="4.42578125" style="203" customWidth="1"/>
    <col min="9218" max="9218" width="40.140625" style="203" customWidth="1"/>
    <col min="9219" max="9219" width="7.85546875" style="203" customWidth="1"/>
    <col min="9220" max="9220" width="11.140625" style="203" customWidth="1"/>
    <col min="9221" max="9221" width="10.42578125" style="203" customWidth="1"/>
    <col min="9222" max="9222" width="11.140625" style="203" customWidth="1"/>
    <col min="9223" max="9223" width="11.28515625" style="203" customWidth="1"/>
    <col min="9224" max="9472" width="11.42578125" style="203"/>
    <col min="9473" max="9473" width="4.42578125" style="203" customWidth="1"/>
    <col min="9474" max="9474" width="40.140625" style="203" customWidth="1"/>
    <col min="9475" max="9475" width="7.85546875" style="203" customWidth="1"/>
    <col min="9476" max="9476" width="11.140625" style="203" customWidth="1"/>
    <col min="9477" max="9477" width="10.42578125" style="203" customWidth="1"/>
    <col min="9478" max="9478" width="11.140625" style="203" customWidth="1"/>
    <col min="9479" max="9479" width="11.28515625" style="203" customWidth="1"/>
    <col min="9480" max="9728" width="11.42578125" style="203"/>
    <col min="9729" max="9729" width="4.42578125" style="203" customWidth="1"/>
    <col min="9730" max="9730" width="40.140625" style="203" customWidth="1"/>
    <col min="9731" max="9731" width="7.85546875" style="203" customWidth="1"/>
    <col min="9732" max="9732" width="11.140625" style="203" customWidth="1"/>
    <col min="9733" max="9733" width="10.42578125" style="203" customWidth="1"/>
    <col min="9734" max="9734" width="11.140625" style="203" customWidth="1"/>
    <col min="9735" max="9735" width="11.28515625" style="203" customWidth="1"/>
    <col min="9736" max="9984" width="11.42578125" style="203"/>
    <col min="9985" max="9985" width="4.42578125" style="203" customWidth="1"/>
    <col min="9986" max="9986" width="40.140625" style="203" customWidth="1"/>
    <col min="9987" max="9987" width="7.85546875" style="203" customWidth="1"/>
    <col min="9988" max="9988" width="11.140625" style="203" customWidth="1"/>
    <col min="9989" max="9989" width="10.42578125" style="203" customWidth="1"/>
    <col min="9990" max="9990" width="11.140625" style="203" customWidth="1"/>
    <col min="9991" max="9991" width="11.28515625" style="203" customWidth="1"/>
    <col min="9992" max="10240" width="11.42578125" style="203"/>
    <col min="10241" max="10241" width="4.42578125" style="203" customWidth="1"/>
    <col min="10242" max="10242" width="40.140625" style="203" customWidth="1"/>
    <col min="10243" max="10243" width="7.85546875" style="203" customWidth="1"/>
    <col min="10244" max="10244" width="11.140625" style="203" customWidth="1"/>
    <col min="10245" max="10245" width="10.42578125" style="203" customWidth="1"/>
    <col min="10246" max="10246" width="11.140625" style="203" customWidth="1"/>
    <col min="10247" max="10247" width="11.28515625" style="203" customWidth="1"/>
    <col min="10248" max="10496" width="11.42578125" style="203"/>
    <col min="10497" max="10497" width="4.42578125" style="203" customWidth="1"/>
    <col min="10498" max="10498" width="40.140625" style="203" customWidth="1"/>
    <col min="10499" max="10499" width="7.85546875" style="203" customWidth="1"/>
    <col min="10500" max="10500" width="11.140625" style="203" customWidth="1"/>
    <col min="10501" max="10501" width="10.42578125" style="203" customWidth="1"/>
    <col min="10502" max="10502" width="11.140625" style="203" customWidth="1"/>
    <col min="10503" max="10503" width="11.28515625" style="203" customWidth="1"/>
    <col min="10504" max="10752" width="11.42578125" style="203"/>
    <col min="10753" max="10753" width="4.42578125" style="203" customWidth="1"/>
    <col min="10754" max="10754" width="40.140625" style="203" customWidth="1"/>
    <col min="10755" max="10755" width="7.85546875" style="203" customWidth="1"/>
    <col min="10756" max="10756" width="11.140625" style="203" customWidth="1"/>
    <col min="10757" max="10757" width="10.42578125" style="203" customWidth="1"/>
    <col min="10758" max="10758" width="11.140625" style="203" customWidth="1"/>
    <col min="10759" max="10759" width="11.28515625" style="203" customWidth="1"/>
    <col min="10760" max="11008" width="11.42578125" style="203"/>
    <col min="11009" max="11009" width="4.42578125" style="203" customWidth="1"/>
    <col min="11010" max="11010" width="40.140625" style="203" customWidth="1"/>
    <col min="11011" max="11011" width="7.85546875" style="203" customWidth="1"/>
    <col min="11012" max="11012" width="11.140625" style="203" customWidth="1"/>
    <col min="11013" max="11013" width="10.42578125" style="203" customWidth="1"/>
    <col min="11014" max="11014" width="11.140625" style="203" customWidth="1"/>
    <col min="11015" max="11015" width="11.28515625" style="203" customWidth="1"/>
    <col min="11016" max="11264" width="11.42578125" style="203"/>
    <col min="11265" max="11265" width="4.42578125" style="203" customWidth="1"/>
    <col min="11266" max="11266" width="40.140625" style="203" customWidth="1"/>
    <col min="11267" max="11267" width="7.85546875" style="203" customWidth="1"/>
    <col min="11268" max="11268" width="11.140625" style="203" customWidth="1"/>
    <col min="11269" max="11269" width="10.42578125" style="203" customWidth="1"/>
    <col min="11270" max="11270" width="11.140625" style="203" customWidth="1"/>
    <col min="11271" max="11271" width="11.28515625" style="203" customWidth="1"/>
    <col min="11272" max="11520" width="11.42578125" style="203"/>
    <col min="11521" max="11521" width="4.42578125" style="203" customWidth="1"/>
    <col min="11522" max="11522" width="40.140625" style="203" customWidth="1"/>
    <col min="11523" max="11523" width="7.85546875" style="203" customWidth="1"/>
    <col min="11524" max="11524" width="11.140625" style="203" customWidth="1"/>
    <col min="11525" max="11525" width="10.42578125" style="203" customWidth="1"/>
    <col min="11526" max="11526" width="11.140625" style="203" customWidth="1"/>
    <col min="11527" max="11527" width="11.28515625" style="203" customWidth="1"/>
    <col min="11528" max="11776" width="11.42578125" style="203"/>
    <col min="11777" max="11777" width="4.42578125" style="203" customWidth="1"/>
    <col min="11778" max="11778" width="40.140625" style="203" customWidth="1"/>
    <col min="11779" max="11779" width="7.85546875" style="203" customWidth="1"/>
    <col min="11780" max="11780" width="11.140625" style="203" customWidth="1"/>
    <col min="11781" max="11781" width="10.42578125" style="203" customWidth="1"/>
    <col min="11782" max="11782" width="11.140625" style="203" customWidth="1"/>
    <col min="11783" max="11783" width="11.28515625" style="203" customWidth="1"/>
    <col min="11784" max="12032" width="11.42578125" style="203"/>
    <col min="12033" max="12033" width="4.42578125" style="203" customWidth="1"/>
    <col min="12034" max="12034" width="40.140625" style="203" customWidth="1"/>
    <col min="12035" max="12035" width="7.85546875" style="203" customWidth="1"/>
    <col min="12036" max="12036" width="11.140625" style="203" customWidth="1"/>
    <col min="12037" max="12037" width="10.42578125" style="203" customWidth="1"/>
    <col min="12038" max="12038" width="11.140625" style="203" customWidth="1"/>
    <col min="12039" max="12039" width="11.28515625" style="203" customWidth="1"/>
    <col min="12040" max="12288" width="11.42578125" style="203"/>
    <col min="12289" max="12289" width="4.42578125" style="203" customWidth="1"/>
    <col min="12290" max="12290" width="40.140625" style="203" customWidth="1"/>
    <col min="12291" max="12291" width="7.85546875" style="203" customWidth="1"/>
    <col min="12292" max="12292" width="11.140625" style="203" customWidth="1"/>
    <col min="12293" max="12293" width="10.42578125" style="203" customWidth="1"/>
    <col min="12294" max="12294" width="11.140625" style="203" customWidth="1"/>
    <col min="12295" max="12295" width="11.28515625" style="203" customWidth="1"/>
    <col min="12296" max="12544" width="11.42578125" style="203"/>
    <col min="12545" max="12545" width="4.42578125" style="203" customWidth="1"/>
    <col min="12546" max="12546" width="40.140625" style="203" customWidth="1"/>
    <col min="12547" max="12547" width="7.85546875" style="203" customWidth="1"/>
    <col min="12548" max="12548" width="11.140625" style="203" customWidth="1"/>
    <col min="12549" max="12549" width="10.42578125" style="203" customWidth="1"/>
    <col min="12550" max="12550" width="11.140625" style="203" customWidth="1"/>
    <col min="12551" max="12551" width="11.28515625" style="203" customWidth="1"/>
    <col min="12552" max="12800" width="11.42578125" style="203"/>
    <col min="12801" max="12801" width="4.42578125" style="203" customWidth="1"/>
    <col min="12802" max="12802" width="40.140625" style="203" customWidth="1"/>
    <col min="12803" max="12803" width="7.85546875" style="203" customWidth="1"/>
    <col min="12804" max="12804" width="11.140625" style="203" customWidth="1"/>
    <col min="12805" max="12805" width="10.42578125" style="203" customWidth="1"/>
    <col min="12806" max="12806" width="11.140625" style="203" customWidth="1"/>
    <col min="12807" max="12807" width="11.28515625" style="203" customWidth="1"/>
    <col min="12808" max="13056" width="11.42578125" style="203"/>
    <col min="13057" max="13057" width="4.42578125" style="203" customWidth="1"/>
    <col min="13058" max="13058" width="40.140625" style="203" customWidth="1"/>
    <col min="13059" max="13059" width="7.85546875" style="203" customWidth="1"/>
    <col min="13060" max="13060" width="11.140625" style="203" customWidth="1"/>
    <col min="13061" max="13061" width="10.42578125" style="203" customWidth="1"/>
    <col min="13062" max="13062" width="11.140625" style="203" customWidth="1"/>
    <col min="13063" max="13063" width="11.28515625" style="203" customWidth="1"/>
    <col min="13064" max="13312" width="11.42578125" style="203"/>
    <col min="13313" max="13313" width="4.42578125" style="203" customWidth="1"/>
    <col min="13314" max="13314" width="40.140625" style="203" customWidth="1"/>
    <col min="13315" max="13315" width="7.85546875" style="203" customWidth="1"/>
    <col min="13316" max="13316" width="11.140625" style="203" customWidth="1"/>
    <col min="13317" max="13317" width="10.42578125" style="203" customWidth="1"/>
    <col min="13318" max="13318" width="11.140625" style="203" customWidth="1"/>
    <col min="13319" max="13319" width="11.28515625" style="203" customWidth="1"/>
    <col min="13320" max="13568" width="11.42578125" style="203"/>
    <col min="13569" max="13569" width="4.42578125" style="203" customWidth="1"/>
    <col min="13570" max="13570" width="40.140625" style="203" customWidth="1"/>
    <col min="13571" max="13571" width="7.85546875" style="203" customWidth="1"/>
    <col min="13572" max="13572" width="11.140625" style="203" customWidth="1"/>
    <col min="13573" max="13573" width="10.42578125" style="203" customWidth="1"/>
    <col min="13574" max="13574" width="11.140625" style="203" customWidth="1"/>
    <col min="13575" max="13575" width="11.28515625" style="203" customWidth="1"/>
    <col min="13576" max="13824" width="11.42578125" style="203"/>
    <col min="13825" max="13825" width="4.42578125" style="203" customWidth="1"/>
    <col min="13826" max="13826" width="40.140625" style="203" customWidth="1"/>
    <col min="13827" max="13827" width="7.85546875" style="203" customWidth="1"/>
    <col min="13828" max="13828" width="11.140625" style="203" customWidth="1"/>
    <col min="13829" max="13829" width="10.42578125" style="203" customWidth="1"/>
    <col min="13830" max="13830" width="11.140625" style="203" customWidth="1"/>
    <col min="13831" max="13831" width="11.28515625" style="203" customWidth="1"/>
    <col min="13832" max="14080" width="11.42578125" style="203"/>
    <col min="14081" max="14081" width="4.42578125" style="203" customWidth="1"/>
    <col min="14082" max="14082" width="40.140625" style="203" customWidth="1"/>
    <col min="14083" max="14083" width="7.85546875" style="203" customWidth="1"/>
    <col min="14084" max="14084" width="11.140625" style="203" customWidth="1"/>
    <col min="14085" max="14085" width="10.42578125" style="203" customWidth="1"/>
    <col min="14086" max="14086" width="11.140625" style="203" customWidth="1"/>
    <col min="14087" max="14087" width="11.28515625" style="203" customWidth="1"/>
    <col min="14088" max="14336" width="11.42578125" style="203"/>
    <col min="14337" max="14337" width="4.42578125" style="203" customWidth="1"/>
    <col min="14338" max="14338" width="40.140625" style="203" customWidth="1"/>
    <col min="14339" max="14339" width="7.85546875" style="203" customWidth="1"/>
    <col min="14340" max="14340" width="11.140625" style="203" customWidth="1"/>
    <col min="14341" max="14341" width="10.42578125" style="203" customWidth="1"/>
    <col min="14342" max="14342" width="11.140625" style="203" customWidth="1"/>
    <col min="14343" max="14343" width="11.28515625" style="203" customWidth="1"/>
    <col min="14344" max="14592" width="11.42578125" style="203"/>
    <col min="14593" max="14593" width="4.42578125" style="203" customWidth="1"/>
    <col min="14594" max="14594" width="40.140625" style="203" customWidth="1"/>
    <col min="14595" max="14595" width="7.85546875" style="203" customWidth="1"/>
    <col min="14596" max="14596" width="11.140625" style="203" customWidth="1"/>
    <col min="14597" max="14597" width="10.42578125" style="203" customWidth="1"/>
    <col min="14598" max="14598" width="11.140625" style="203" customWidth="1"/>
    <col min="14599" max="14599" width="11.28515625" style="203" customWidth="1"/>
    <col min="14600" max="14848" width="11.42578125" style="203"/>
    <col min="14849" max="14849" width="4.42578125" style="203" customWidth="1"/>
    <col min="14850" max="14850" width="40.140625" style="203" customWidth="1"/>
    <col min="14851" max="14851" width="7.85546875" style="203" customWidth="1"/>
    <col min="14852" max="14852" width="11.140625" style="203" customWidth="1"/>
    <col min="14853" max="14853" width="10.42578125" style="203" customWidth="1"/>
    <col min="14854" max="14854" width="11.140625" style="203" customWidth="1"/>
    <col min="14855" max="14855" width="11.28515625" style="203" customWidth="1"/>
    <col min="14856" max="15104" width="11.42578125" style="203"/>
    <col min="15105" max="15105" width="4.42578125" style="203" customWidth="1"/>
    <col min="15106" max="15106" width="40.140625" style="203" customWidth="1"/>
    <col min="15107" max="15107" width="7.85546875" style="203" customWidth="1"/>
    <col min="15108" max="15108" width="11.140625" style="203" customWidth="1"/>
    <col min="15109" max="15109" width="10.42578125" style="203" customWidth="1"/>
    <col min="15110" max="15110" width="11.140625" style="203" customWidth="1"/>
    <col min="15111" max="15111" width="11.28515625" style="203" customWidth="1"/>
    <col min="15112" max="15360" width="11.42578125" style="203"/>
    <col min="15361" max="15361" width="4.42578125" style="203" customWidth="1"/>
    <col min="15362" max="15362" width="40.140625" style="203" customWidth="1"/>
    <col min="15363" max="15363" width="7.85546875" style="203" customWidth="1"/>
    <col min="15364" max="15364" width="11.140625" style="203" customWidth="1"/>
    <col min="15365" max="15365" width="10.42578125" style="203" customWidth="1"/>
    <col min="15366" max="15366" width="11.140625" style="203" customWidth="1"/>
    <col min="15367" max="15367" width="11.28515625" style="203" customWidth="1"/>
    <col min="15368" max="15616" width="11.42578125" style="203"/>
    <col min="15617" max="15617" width="4.42578125" style="203" customWidth="1"/>
    <col min="15618" max="15618" width="40.140625" style="203" customWidth="1"/>
    <col min="15619" max="15619" width="7.85546875" style="203" customWidth="1"/>
    <col min="15620" max="15620" width="11.140625" style="203" customWidth="1"/>
    <col min="15621" max="15621" width="10.42578125" style="203" customWidth="1"/>
    <col min="15622" max="15622" width="11.140625" style="203" customWidth="1"/>
    <col min="15623" max="15623" width="11.28515625" style="203" customWidth="1"/>
    <col min="15624" max="15872" width="11.42578125" style="203"/>
    <col min="15873" max="15873" width="4.42578125" style="203" customWidth="1"/>
    <col min="15874" max="15874" width="40.140625" style="203" customWidth="1"/>
    <col min="15875" max="15875" width="7.85546875" style="203" customWidth="1"/>
    <col min="15876" max="15876" width="11.140625" style="203" customWidth="1"/>
    <col min="15877" max="15877" width="10.42578125" style="203" customWidth="1"/>
    <col min="15878" max="15878" width="11.140625" style="203" customWidth="1"/>
    <col min="15879" max="15879" width="11.28515625" style="203" customWidth="1"/>
    <col min="15880" max="16128" width="11.42578125" style="203"/>
    <col min="16129" max="16129" width="4.42578125" style="203" customWidth="1"/>
    <col min="16130" max="16130" width="40.140625" style="203" customWidth="1"/>
    <col min="16131" max="16131" width="7.85546875" style="203" customWidth="1"/>
    <col min="16132" max="16132" width="11.140625" style="203" customWidth="1"/>
    <col min="16133" max="16133" width="10.42578125" style="203" customWidth="1"/>
    <col min="16134" max="16134" width="11.140625" style="203" customWidth="1"/>
    <col min="16135" max="16135" width="11.28515625" style="203" customWidth="1"/>
    <col min="16136" max="16384" width="11.42578125" style="203"/>
  </cols>
  <sheetData>
    <row r="2" spans="2:14" x14ac:dyDescent="0.25">
      <c r="B2" s="678" t="s">
        <v>349</v>
      </c>
      <c r="C2" s="678"/>
      <c r="D2" s="678"/>
      <c r="E2" s="678"/>
      <c r="F2" s="678"/>
    </row>
    <row r="3" spans="2:14" s="204" customFormat="1" ht="39" customHeight="1" x14ac:dyDescent="0.25">
      <c r="B3" s="85" t="s">
        <v>20</v>
      </c>
      <c r="C3" s="85" t="s">
        <v>21</v>
      </c>
      <c r="D3" s="85" t="s">
        <v>22</v>
      </c>
      <c r="E3" s="85" t="s">
        <v>23</v>
      </c>
      <c r="F3" s="85" t="s">
        <v>24</v>
      </c>
      <c r="I3" s="205"/>
      <c r="J3" s="205"/>
      <c r="K3" s="205"/>
      <c r="L3" s="205"/>
      <c r="M3" s="205"/>
      <c r="N3" s="205"/>
    </row>
    <row r="4" spans="2:14" s="210" customFormat="1" ht="12.75" x14ac:dyDescent="0.25">
      <c r="B4" s="206" t="s">
        <v>107</v>
      </c>
      <c r="C4" s="207"/>
      <c r="D4" s="207"/>
      <c r="E4" s="208"/>
      <c r="F4" s="209">
        <f>+F5</f>
        <v>19000</v>
      </c>
      <c r="I4" s="211"/>
      <c r="J4" s="211"/>
      <c r="K4" s="211"/>
      <c r="L4" s="211"/>
      <c r="M4" s="211"/>
      <c r="N4" s="211"/>
    </row>
    <row r="5" spans="2:14" ht="12.75" x14ac:dyDescent="0.25">
      <c r="B5" s="212" t="s">
        <v>267</v>
      </c>
      <c r="C5" s="213" t="s">
        <v>265</v>
      </c>
      <c r="D5" s="213">
        <v>2</v>
      </c>
      <c r="E5" s="214">
        <v>9500</v>
      </c>
      <c r="F5" s="214">
        <f>+D5*E5</f>
        <v>19000</v>
      </c>
      <c r="G5" s="215"/>
      <c r="I5" s="216"/>
      <c r="J5" s="216"/>
      <c r="K5" s="216"/>
      <c r="L5" s="216"/>
      <c r="M5" s="216"/>
      <c r="N5" s="216"/>
    </row>
    <row r="6" spans="2:14" s="210" customFormat="1" ht="12.75" x14ac:dyDescent="0.25">
      <c r="B6" s="206" t="s">
        <v>350</v>
      </c>
      <c r="C6" s="217"/>
      <c r="D6" s="218"/>
      <c r="E6" s="219"/>
      <c r="F6" s="219">
        <f>SUM(F7:F7)</f>
        <v>133211.869875</v>
      </c>
      <c r="I6" s="211"/>
      <c r="J6" s="220"/>
      <c r="K6" s="216"/>
      <c r="L6" s="211"/>
      <c r="M6" s="221"/>
      <c r="N6" s="222"/>
    </row>
    <row r="7" spans="2:14" s="210" customFormat="1" ht="12.75" x14ac:dyDescent="0.25">
      <c r="B7" s="223" t="s">
        <v>269</v>
      </c>
      <c r="C7" s="213" t="s">
        <v>81</v>
      </c>
      <c r="D7" s="224">
        <v>1</v>
      </c>
      <c r="E7" s="225">
        <f>126868.4475*1.05</f>
        <v>133211.869875</v>
      </c>
      <c r="F7" s="225">
        <f>+D7*E7</f>
        <v>133211.869875</v>
      </c>
      <c r="G7" s="226"/>
      <c r="I7" s="211"/>
      <c r="J7" s="220"/>
      <c r="K7" s="216"/>
      <c r="L7" s="211"/>
      <c r="M7" s="221"/>
      <c r="N7" s="222"/>
    </row>
    <row r="8" spans="2:14" x14ac:dyDescent="0.25">
      <c r="B8" s="680" t="s">
        <v>25</v>
      </c>
      <c r="C8" s="681"/>
      <c r="D8" s="227"/>
      <c r="E8" s="228"/>
      <c r="F8" s="229">
        <f>+F4+F6</f>
        <v>152211.869875</v>
      </c>
      <c r="G8" s="230"/>
    </row>
    <row r="9" spans="2:14" ht="26.25" customHeight="1" x14ac:dyDescent="0.25">
      <c r="B9" s="679" t="s">
        <v>268</v>
      </c>
      <c r="C9" s="679"/>
      <c r="D9" s="679"/>
      <c r="E9" s="679"/>
      <c r="F9" s="679"/>
      <c r="G9" s="222"/>
      <c r="H9" s="215"/>
    </row>
    <row r="10" spans="2:14" x14ac:dyDescent="0.25">
      <c r="B10" s="222"/>
      <c r="C10" s="222"/>
      <c r="D10" s="222"/>
      <c r="E10" s="222"/>
      <c r="F10" s="222"/>
      <c r="G10" s="222"/>
    </row>
    <row r="11" spans="2:14" x14ac:dyDescent="0.25">
      <c r="B11" s="222"/>
      <c r="C11" s="222"/>
      <c r="D11" s="222"/>
      <c r="E11" s="222"/>
      <c r="F11" s="222"/>
      <c r="G11" s="222"/>
    </row>
    <row r="12" spans="2:14" x14ac:dyDescent="0.25">
      <c r="B12" s="222"/>
      <c r="C12" s="222"/>
      <c r="D12" s="222"/>
      <c r="E12" s="222"/>
      <c r="F12" s="222"/>
      <c r="G12" s="222"/>
    </row>
    <row r="13" spans="2:14" x14ac:dyDescent="0.25">
      <c r="B13" s="222"/>
      <c r="C13" s="222"/>
      <c r="D13" s="222"/>
      <c r="E13" s="222"/>
      <c r="F13" s="222"/>
      <c r="G13" s="222"/>
    </row>
    <row r="14" spans="2:14" x14ac:dyDescent="0.25">
      <c r="B14" s="222"/>
      <c r="C14" s="222"/>
      <c r="D14" s="222"/>
      <c r="E14" s="222"/>
      <c r="F14" s="222"/>
      <c r="G14" s="222"/>
    </row>
    <row r="15" spans="2:14" x14ac:dyDescent="0.25">
      <c r="B15" s="222"/>
      <c r="C15" s="222"/>
      <c r="D15" s="222"/>
      <c r="E15" s="222"/>
      <c r="F15" s="222"/>
      <c r="G15" s="222"/>
    </row>
    <row r="16" spans="2:14" x14ac:dyDescent="0.25">
      <c r="B16" s="222"/>
      <c r="C16" s="222"/>
      <c r="D16" s="222"/>
      <c r="E16" s="222"/>
      <c r="F16" s="222"/>
      <c r="G16" s="222"/>
    </row>
    <row r="17" spans="2:7" x14ac:dyDescent="0.25">
      <c r="B17" s="222"/>
      <c r="C17" s="222"/>
      <c r="D17" s="222"/>
      <c r="E17" s="222"/>
      <c r="F17" s="222"/>
      <c r="G17" s="222"/>
    </row>
    <row r="18" spans="2:7" x14ac:dyDescent="0.25">
      <c r="B18" s="222"/>
      <c r="C18" s="222"/>
      <c r="D18" s="222"/>
      <c r="E18" s="222"/>
      <c r="F18" s="222"/>
      <c r="G18" s="222"/>
    </row>
    <row r="19" spans="2:7" x14ac:dyDescent="0.25">
      <c r="B19" s="222"/>
      <c r="C19" s="222"/>
      <c r="D19" s="222"/>
      <c r="E19" s="222"/>
      <c r="F19" s="222"/>
      <c r="G19" s="222"/>
    </row>
    <row r="20" spans="2:7" x14ac:dyDescent="0.25">
      <c r="B20" s="222"/>
      <c r="C20" s="222"/>
      <c r="D20" s="222"/>
      <c r="E20" s="222"/>
      <c r="F20" s="222"/>
      <c r="G20" s="222"/>
    </row>
    <row r="21" spans="2:7" x14ac:dyDescent="0.25">
      <c r="B21" s="222"/>
      <c r="C21" s="222"/>
      <c r="D21" s="222"/>
      <c r="E21" s="222"/>
      <c r="F21" s="222"/>
      <c r="G21" s="222"/>
    </row>
    <row r="22" spans="2:7" x14ac:dyDescent="0.25">
      <c r="B22" s="222"/>
      <c r="C22" s="222"/>
      <c r="D22" s="222"/>
      <c r="E22" s="222"/>
      <c r="F22" s="222"/>
      <c r="G22" s="222"/>
    </row>
    <row r="23" spans="2:7" x14ac:dyDescent="0.25">
      <c r="B23" s="222"/>
      <c r="C23" s="222"/>
      <c r="D23" s="222"/>
      <c r="E23" s="222"/>
      <c r="F23" s="222"/>
      <c r="G23" s="222"/>
    </row>
    <row r="24" spans="2:7" x14ac:dyDescent="0.25">
      <c r="B24" s="222"/>
      <c r="C24" s="222"/>
      <c r="D24" s="222"/>
      <c r="E24" s="222"/>
      <c r="F24" s="222"/>
      <c r="G24" s="222"/>
    </row>
    <row r="25" spans="2:7" x14ac:dyDescent="0.25">
      <c r="B25" s="222"/>
      <c r="C25" s="222"/>
      <c r="D25" s="222"/>
      <c r="E25" s="222"/>
      <c r="F25" s="222"/>
      <c r="G25" s="222"/>
    </row>
    <row r="26" spans="2:7" x14ac:dyDescent="0.25">
      <c r="B26" s="222"/>
      <c r="C26" s="222"/>
      <c r="D26" s="222"/>
      <c r="E26" s="222"/>
      <c r="F26" s="222"/>
      <c r="G26" s="222"/>
    </row>
    <row r="27" spans="2:7" x14ac:dyDescent="0.25">
      <c r="B27" s="222"/>
      <c r="C27" s="222"/>
      <c r="D27" s="222"/>
      <c r="E27" s="222"/>
      <c r="F27" s="222"/>
      <c r="G27" s="222"/>
    </row>
    <row r="28" spans="2:7" x14ac:dyDescent="0.25">
      <c r="B28" s="222"/>
      <c r="C28" s="222"/>
      <c r="D28" s="222"/>
      <c r="E28" s="222"/>
      <c r="F28" s="222"/>
      <c r="G28" s="222"/>
    </row>
    <row r="29" spans="2:7" x14ac:dyDescent="0.25">
      <c r="B29" s="222"/>
      <c r="C29" s="222"/>
      <c r="D29" s="222"/>
      <c r="E29" s="222"/>
      <c r="F29" s="222"/>
      <c r="G29" s="222"/>
    </row>
    <row r="30" spans="2:7" x14ac:dyDescent="0.25">
      <c r="B30" s="222"/>
      <c r="C30" s="222"/>
      <c r="D30" s="222"/>
      <c r="E30" s="222"/>
      <c r="F30" s="222"/>
      <c r="G30" s="222"/>
    </row>
    <row r="31" spans="2:7" x14ac:dyDescent="0.25">
      <c r="B31" s="222"/>
      <c r="C31" s="222"/>
      <c r="D31" s="222"/>
      <c r="E31" s="222"/>
      <c r="F31" s="222"/>
      <c r="G31" s="222"/>
    </row>
    <row r="32" spans="2:7" x14ac:dyDescent="0.25">
      <c r="B32" s="222"/>
      <c r="C32" s="222"/>
      <c r="D32" s="222"/>
      <c r="E32" s="222"/>
      <c r="F32" s="222"/>
      <c r="G32" s="222"/>
    </row>
    <row r="33" spans="2:7" x14ac:dyDescent="0.25">
      <c r="B33" s="222"/>
      <c r="C33" s="222"/>
      <c r="D33" s="222"/>
      <c r="E33" s="222"/>
      <c r="F33" s="222"/>
      <c r="G33" s="222"/>
    </row>
    <row r="34" spans="2:7" x14ac:dyDescent="0.25">
      <c r="B34" s="222"/>
      <c r="C34" s="222"/>
      <c r="D34" s="222"/>
      <c r="E34" s="222"/>
      <c r="F34" s="222"/>
      <c r="G34" s="222"/>
    </row>
    <row r="35" spans="2:7" x14ac:dyDescent="0.25">
      <c r="B35" s="222"/>
      <c r="C35" s="222"/>
      <c r="D35" s="222"/>
      <c r="E35" s="222"/>
      <c r="F35" s="222"/>
      <c r="G35" s="222"/>
    </row>
    <row r="36" spans="2:7" x14ac:dyDescent="0.25">
      <c r="B36" s="222"/>
      <c r="C36" s="222"/>
      <c r="D36" s="222"/>
      <c r="E36" s="222"/>
      <c r="F36" s="222"/>
      <c r="G36" s="222"/>
    </row>
    <row r="37" spans="2:7" x14ac:dyDescent="0.25">
      <c r="B37" s="222"/>
      <c r="C37" s="222"/>
      <c r="D37" s="222"/>
      <c r="E37" s="222"/>
      <c r="F37" s="222"/>
      <c r="G37" s="222"/>
    </row>
    <row r="38" spans="2:7" x14ac:dyDescent="0.25">
      <c r="B38" s="222"/>
      <c r="C38" s="222"/>
      <c r="D38" s="222"/>
      <c r="E38" s="222"/>
      <c r="F38" s="222"/>
      <c r="G38" s="222"/>
    </row>
    <row r="39" spans="2:7" x14ac:dyDescent="0.25">
      <c r="B39" s="222"/>
      <c r="C39" s="222"/>
      <c r="D39" s="222"/>
      <c r="E39" s="222"/>
      <c r="F39" s="222"/>
      <c r="G39" s="222"/>
    </row>
    <row r="40" spans="2:7" x14ac:dyDescent="0.25">
      <c r="B40" s="222"/>
      <c r="C40" s="222"/>
      <c r="D40" s="222"/>
      <c r="E40" s="222"/>
      <c r="F40" s="222"/>
      <c r="G40" s="222"/>
    </row>
    <row r="41" spans="2:7" x14ac:dyDescent="0.25">
      <c r="B41" s="222"/>
      <c r="C41" s="222"/>
      <c r="D41" s="222"/>
      <c r="E41" s="222"/>
      <c r="F41" s="222"/>
      <c r="G41" s="222"/>
    </row>
    <row r="42" spans="2:7" x14ac:dyDescent="0.25">
      <c r="B42" s="222"/>
      <c r="C42" s="222"/>
      <c r="D42" s="222"/>
      <c r="E42" s="222"/>
      <c r="F42" s="222"/>
      <c r="G42" s="222"/>
    </row>
    <row r="43" spans="2:7" x14ac:dyDescent="0.25">
      <c r="B43" s="222"/>
      <c r="C43" s="222"/>
      <c r="D43" s="222"/>
      <c r="E43" s="222"/>
      <c r="F43" s="222"/>
      <c r="G43" s="222"/>
    </row>
    <row r="44" spans="2:7" x14ac:dyDescent="0.25">
      <c r="B44" s="222"/>
      <c r="C44" s="222"/>
      <c r="D44" s="222"/>
      <c r="E44" s="222"/>
      <c r="F44" s="222"/>
      <c r="G44" s="222"/>
    </row>
    <row r="45" spans="2:7" x14ac:dyDescent="0.25">
      <c r="B45" s="222"/>
      <c r="C45" s="222"/>
      <c r="D45" s="222"/>
      <c r="E45" s="222"/>
      <c r="F45" s="222"/>
      <c r="G45" s="222"/>
    </row>
    <row r="46" spans="2:7" x14ac:dyDescent="0.25">
      <c r="B46" s="222"/>
      <c r="C46" s="222"/>
      <c r="D46" s="222"/>
      <c r="E46" s="222"/>
      <c r="F46" s="222"/>
      <c r="G46" s="222"/>
    </row>
    <row r="47" spans="2:7" x14ac:dyDescent="0.25">
      <c r="B47" s="222"/>
      <c r="C47" s="222"/>
      <c r="D47" s="222"/>
      <c r="E47" s="222"/>
      <c r="F47" s="222"/>
      <c r="G47" s="222"/>
    </row>
    <row r="48" spans="2:7" x14ac:dyDescent="0.25">
      <c r="B48" s="222"/>
      <c r="C48" s="222"/>
      <c r="D48" s="222"/>
      <c r="E48" s="222"/>
      <c r="F48" s="222"/>
      <c r="G48" s="222"/>
    </row>
    <row r="49" spans="2:7" x14ac:dyDescent="0.25">
      <c r="B49" s="222"/>
      <c r="C49" s="222"/>
      <c r="D49" s="222"/>
      <c r="E49" s="222"/>
      <c r="F49" s="222"/>
      <c r="G49" s="222"/>
    </row>
    <row r="50" spans="2:7" x14ac:dyDescent="0.25">
      <c r="B50" s="222"/>
      <c r="C50" s="222"/>
      <c r="D50" s="222"/>
      <c r="E50" s="222"/>
      <c r="F50" s="222"/>
      <c r="G50" s="222"/>
    </row>
    <row r="51" spans="2:7" x14ac:dyDescent="0.25">
      <c r="B51" s="222"/>
      <c r="C51" s="222"/>
      <c r="D51" s="222"/>
      <c r="E51" s="222"/>
      <c r="F51" s="222"/>
      <c r="G51" s="222"/>
    </row>
    <row r="52" spans="2:7" x14ac:dyDescent="0.25">
      <c r="B52" s="222"/>
      <c r="C52" s="222"/>
      <c r="D52" s="222"/>
      <c r="E52" s="222"/>
      <c r="F52" s="222"/>
      <c r="G52" s="222"/>
    </row>
    <row r="53" spans="2:7" x14ac:dyDescent="0.25">
      <c r="B53" s="222"/>
      <c r="C53" s="222"/>
      <c r="D53" s="222"/>
      <c r="E53" s="222"/>
      <c r="F53" s="222"/>
      <c r="G53" s="222"/>
    </row>
    <row r="54" spans="2:7" x14ac:dyDescent="0.25">
      <c r="B54" s="222"/>
      <c r="C54" s="222"/>
      <c r="D54" s="222"/>
      <c r="E54" s="222"/>
      <c r="F54" s="222"/>
      <c r="G54" s="222"/>
    </row>
    <row r="55" spans="2:7" x14ac:dyDescent="0.25">
      <c r="B55" s="222"/>
      <c r="C55" s="222"/>
      <c r="D55" s="222"/>
      <c r="E55" s="222"/>
      <c r="F55" s="222"/>
      <c r="G55" s="222"/>
    </row>
    <row r="56" spans="2:7" x14ac:dyDescent="0.25">
      <c r="B56" s="222"/>
      <c r="C56" s="222"/>
      <c r="D56" s="222"/>
      <c r="E56" s="222"/>
      <c r="F56" s="222"/>
      <c r="G56" s="222"/>
    </row>
    <row r="57" spans="2:7" x14ac:dyDescent="0.25">
      <c r="B57" s="222"/>
      <c r="C57" s="222"/>
      <c r="D57" s="222"/>
      <c r="E57" s="222"/>
      <c r="F57" s="222"/>
      <c r="G57" s="222"/>
    </row>
    <row r="58" spans="2:7" x14ac:dyDescent="0.25">
      <c r="B58" s="222"/>
      <c r="C58" s="222"/>
      <c r="D58" s="222"/>
      <c r="E58" s="222"/>
      <c r="F58" s="222"/>
      <c r="G58" s="222"/>
    </row>
    <row r="59" spans="2:7" x14ac:dyDescent="0.25">
      <c r="B59" s="222"/>
      <c r="C59" s="222"/>
      <c r="D59" s="222"/>
      <c r="E59" s="222"/>
      <c r="F59" s="222"/>
      <c r="G59" s="222"/>
    </row>
    <row r="60" spans="2:7" x14ac:dyDescent="0.25">
      <c r="B60" s="222"/>
      <c r="C60" s="222"/>
      <c r="D60" s="222"/>
      <c r="E60" s="222"/>
      <c r="F60" s="222"/>
      <c r="G60" s="222"/>
    </row>
    <row r="61" spans="2:7" x14ac:dyDescent="0.25">
      <c r="B61" s="222"/>
      <c r="C61" s="222"/>
      <c r="D61" s="222"/>
      <c r="E61" s="222"/>
      <c r="F61" s="222"/>
      <c r="G61" s="222"/>
    </row>
    <row r="62" spans="2:7" x14ac:dyDescent="0.25">
      <c r="B62" s="222"/>
      <c r="C62" s="222"/>
      <c r="D62" s="222"/>
      <c r="E62" s="222"/>
      <c r="F62" s="222"/>
      <c r="G62" s="222"/>
    </row>
    <row r="63" spans="2:7" x14ac:dyDescent="0.25">
      <c r="B63" s="222"/>
      <c r="C63" s="222"/>
      <c r="D63" s="222"/>
      <c r="E63" s="222"/>
      <c r="F63" s="222"/>
      <c r="G63" s="222"/>
    </row>
    <row r="64" spans="2:7" x14ac:dyDescent="0.25">
      <c r="B64" s="222"/>
      <c r="C64" s="222"/>
      <c r="D64" s="222"/>
      <c r="E64" s="222"/>
      <c r="F64" s="222"/>
      <c r="G64" s="222"/>
    </row>
    <row r="65" spans="2:7" x14ac:dyDescent="0.25">
      <c r="B65" s="222"/>
      <c r="C65" s="222"/>
      <c r="D65" s="222"/>
      <c r="E65" s="222"/>
      <c r="F65" s="222"/>
      <c r="G65" s="222"/>
    </row>
    <row r="66" spans="2:7" x14ac:dyDescent="0.25">
      <c r="B66" s="222"/>
      <c r="C66" s="222"/>
      <c r="D66" s="222"/>
      <c r="E66" s="222"/>
      <c r="F66" s="222"/>
      <c r="G66" s="222"/>
    </row>
    <row r="67" spans="2:7" x14ac:dyDescent="0.25">
      <c r="B67" s="222"/>
      <c r="C67" s="222"/>
      <c r="D67" s="222"/>
      <c r="E67" s="222"/>
      <c r="F67" s="222"/>
      <c r="G67" s="222"/>
    </row>
    <row r="68" spans="2:7" x14ac:dyDescent="0.25">
      <c r="B68" s="222"/>
      <c r="C68" s="222"/>
      <c r="D68" s="222"/>
      <c r="E68" s="222"/>
      <c r="F68" s="222"/>
      <c r="G68" s="222"/>
    </row>
    <row r="69" spans="2:7" x14ac:dyDescent="0.25">
      <c r="B69" s="222"/>
      <c r="C69" s="222"/>
      <c r="D69" s="222"/>
      <c r="E69" s="222"/>
      <c r="F69" s="222"/>
      <c r="G69" s="222"/>
    </row>
    <row r="70" spans="2:7" x14ac:dyDescent="0.25">
      <c r="B70" s="222"/>
      <c r="C70" s="222"/>
      <c r="D70" s="222"/>
      <c r="E70" s="222"/>
      <c r="F70" s="222"/>
      <c r="G70" s="222"/>
    </row>
    <row r="71" spans="2:7" x14ac:dyDescent="0.25">
      <c r="B71" s="222"/>
      <c r="C71" s="222"/>
      <c r="D71" s="222"/>
      <c r="E71" s="222"/>
      <c r="F71" s="222"/>
      <c r="G71" s="222"/>
    </row>
    <row r="72" spans="2:7" x14ac:dyDescent="0.25">
      <c r="B72" s="222"/>
      <c r="C72" s="222"/>
      <c r="D72" s="222"/>
      <c r="E72" s="222"/>
      <c r="F72" s="222"/>
      <c r="G72" s="222"/>
    </row>
    <row r="73" spans="2:7" x14ac:dyDescent="0.25">
      <c r="B73" s="222"/>
      <c r="C73" s="222"/>
      <c r="D73" s="222"/>
      <c r="E73" s="222"/>
      <c r="F73" s="222"/>
      <c r="G73" s="222"/>
    </row>
    <row r="74" spans="2:7" x14ac:dyDescent="0.25">
      <c r="B74" s="222"/>
      <c r="C74" s="222"/>
      <c r="D74" s="222"/>
      <c r="E74" s="222"/>
      <c r="F74" s="222"/>
      <c r="G74" s="222"/>
    </row>
    <row r="75" spans="2:7" x14ac:dyDescent="0.25">
      <c r="B75" s="222"/>
      <c r="C75" s="222"/>
      <c r="D75" s="222"/>
      <c r="E75" s="222"/>
      <c r="F75" s="222"/>
      <c r="G75" s="222"/>
    </row>
    <row r="76" spans="2:7" x14ac:dyDescent="0.25">
      <c r="B76" s="222"/>
      <c r="C76" s="222"/>
      <c r="D76" s="222"/>
      <c r="E76" s="222"/>
      <c r="F76" s="222"/>
      <c r="G76" s="222"/>
    </row>
    <row r="77" spans="2:7" x14ac:dyDescent="0.25">
      <c r="B77" s="222"/>
      <c r="C77" s="222"/>
      <c r="D77" s="222"/>
      <c r="E77" s="222"/>
      <c r="F77" s="222"/>
      <c r="G77" s="222"/>
    </row>
    <row r="78" spans="2:7" x14ac:dyDescent="0.25">
      <c r="B78" s="222"/>
      <c r="C78" s="222"/>
      <c r="D78" s="222"/>
      <c r="E78" s="222"/>
      <c r="F78" s="222"/>
      <c r="G78" s="222"/>
    </row>
    <row r="79" spans="2:7" x14ac:dyDescent="0.25">
      <c r="B79" s="222"/>
      <c r="C79" s="222"/>
      <c r="D79" s="222"/>
      <c r="E79" s="222"/>
      <c r="F79" s="222"/>
      <c r="G79" s="222"/>
    </row>
    <row r="80" spans="2:7" x14ac:dyDescent="0.25">
      <c r="B80" s="222"/>
      <c r="C80" s="222"/>
      <c r="D80" s="222"/>
      <c r="E80" s="222"/>
      <c r="F80" s="222"/>
      <c r="G80" s="222"/>
    </row>
    <row r="81" spans="2:7" x14ac:dyDescent="0.25">
      <c r="B81" s="222"/>
      <c r="C81" s="222"/>
      <c r="D81" s="222"/>
      <c r="E81" s="222"/>
      <c r="F81" s="222"/>
      <c r="G81" s="222"/>
    </row>
    <row r="82" spans="2:7" x14ac:dyDescent="0.25">
      <c r="B82" s="222"/>
      <c r="C82" s="222"/>
      <c r="D82" s="222"/>
      <c r="E82" s="222"/>
      <c r="F82" s="222"/>
      <c r="G82" s="222"/>
    </row>
    <row r="83" spans="2:7" x14ac:dyDescent="0.25">
      <c r="B83" s="222"/>
      <c r="C83" s="222"/>
      <c r="D83" s="222"/>
      <c r="E83" s="222"/>
      <c r="F83" s="222"/>
      <c r="G83" s="222"/>
    </row>
    <row r="84" spans="2:7" x14ac:dyDescent="0.25">
      <c r="B84" s="222"/>
      <c r="C84" s="222"/>
      <c r="D84" s="222"/>
      <c r="E84" s="222"/>
      <c r="F84" s="222"/>
      <c r="G84" s="222"/>
    </row>
    <row r="85" spans="2:7" x14ac:dyDescent="0.25">
      <c r="B85" s="222"/>
      <c r="C85" s="222"/>
      <c r="D85" s="222"/>
      <c r="E85" s="222"/>
      <c r="F85" s="222"/>
      <c r="G85" s="222"/>
    </row>
    <row r="86" spans="2:7" x14ac:dyDescent="0.25">
      <c r="B86" s="222"/>
      <c r="C86" s="222"/>
      <c r="D86" s="222"/>
      <c r="E86" s="222"/>
      <c r="F86" s="222"/>
      <c r="G86" s="222"/>
    </row>
    <row r="87" spans="2:7" x14ac:dyDescent="0.25">
      <c r="B87" s="222"/>
      <c r="C87" s="222"/>
      <c r="D87" s="222"/>
      <c r="E87" s="222"/>
      <c r="F87" s="222"/>
      <c r="G87" s="222"/>
    </row>
    <row r="88" spans="2:7" x14ac:dyDescent="0.25">
      <c r="B88" s="222"/>
      <c r="C88" s="222"/>
      <c r="D88" s="222"/>
      <c r="E88" s="222"/>
      <c r="F88" s="222"/>
      <c r="G88" s="222"/>
    </row>
    <row r="89" spans="2:7" x14ac:dyDescent="0.25">
      <c r="B89" s="222"/>
      <c r="C89" s="222"/>
      <c r="D89" s="222"/>
      <c r="E89" s="222"/>
      <c r="F89" s="222"/>
      <c r="G89" s="222"/>
    </row>
    <row r="90" spans="2:7" x14ac:dyDescent="0.25">
      <c r="B90" s="222"/>
      <c r="C90" s="222"/>
      <c r="D90" s="222"/>
      <c r="E90" s="222"/>
      <c r="F90" s="222"/>
      <c r="G90" s="222"/>
    </row>
    <row r="91" spans="2:7" x14ac:dyDescent="0.25">
      <c r="B91" s="222"/>
      <c r="C91" s="222"/>
      <c r="D91" s="222"/>
      <c r="E91" s="222"/>
      <c r="F91" s="222"/>
      <c r="G91" s="222"/>
    </row>
    <row r="92" spans="2:7" x14ac:dyDescent="0.25">
      <c r="B92" s="222"/>
      <c r="C92" s="222"/>
      <c r="D92" s="222"/>
      <c r="E92" s="222"/>
      <c r="F92" s="222"/>
      <c r="G92" s="222"/>
    </row>
    <row r="93" spans="2:7" x14ac:dyDescent="0.25">
      <c r="B93" s="222"/>
      <c r="C93" s="222"/>
      <c r="D93" s="222"/>
      <c r="E93" s="222"/>
      <c r="F93" s="222"/>
      <c r="G93" s="222"/>
    </row>
    <row r="94" spans="2:7" x14ac:dyDescent="0.25">
      <c r="B94" s="222"/>
      <c r="C94" s="222"/>
      <c r="D94" s="222"/>
      <c r="E94" s="222"/>
      <c r="F94" s="222"/>
      <c r="G94" s="222"/>
    </row>
    <row r="95" spans="2:7" x14ac:dyDescent="0.25">
      <c r="B95" s="222"/>
      <c r="C95" s="222"/>
      <c r="D95" s="222"/>
      <c r="E95" s="222"/>
      <c r="F95" s="222"/>
      <c r="G95" s="222"/>
    </row>
    <row r="96" spans="2:7" x14ac:dyDescent="0.25">
      <c r="B96" s="222"/>
      <c r="C96" s="222"/>
      <c r="D96" s="222"/>
      <c r="E96" s="222"/>
      <c r="F96" s="222"/>
      <c r="G96" s="222"/>
    </row>
    <row r="97" spans="2:7" x14ac:dyDescent="0.25">
      <c r="B97" s="222"/>
      <c r="C97" s="222"/>
      <c r="D97" s="222"/>
      <c r="E97" s="222"/>
      <c r="F97" s="222"/>
      <c r="G97" s="222"/>
    </row>
    <row r="98" spans="2:7" x14ac:dyDescent="0.25">
      <c r="B98" s="222"/>
      <c r="C98" s="222"/>
      <c r="D98" s="222"/>
      <c r="E98" s="222"/>
      <c r="F98" s="222"/>
      <c r="G98" s="222"/>
    </row>
    <row r="99" spans="2:7" x14ac:dyDescent="0.25">
      <c r="B99" s="222"/>
      <c r="C99" s="222"/>
      <c r="D99" s="222"/>
      <c r="E99" s="222"/>
      <c r="F99" s="222"/>
      <c r="G99" s="222"/>
    </row>
    <row r="100" spans="2:7" x14ac:dyDescent="0.25">
      <c r="B100" s="222"/>
      <c r="C100" s="222"/>
      <c r="D100" s="222"/>
      <c r="E100" s="222"/>
      <c r="F100" s="222"/>
      <c r="G100" s="222"/>
    </row>
    <row r="101" spans="2:7" x14ac:dyDescent="0.25">
      <c r="B101" s="222"/>
      <c r="C101" s="222"/>
      <c r="D101" s="222"/>
      <c r="E101" s="222"/>
      <c r="F101" s="222"/>
      <c r="G101" s="222"/>
    </row>
    <row r="102" spans="2:7" x14ac:dyDescent="0.25">
      <c r="B102" s="222"/>
      <c r="C102" s="222"/>
      <c r="D102" s="222"/>
      <c r="E102" s="222"/>
      <c r="F102" s="222"/>
      <c r="G102" s="222"/>
    </row>
    <row r="103" spans="2:7" x14ac:dyDescent="0.25">
      <c r="B103" s="222"/>
      <c r="C103" s="222"/>
      <c r="D103" s="222"/>
      <c r="E103" s="222"/>
      <c r="F103" s="222"/>
      <c r="G103" s="222"/>
    </row>
    <row r="104" spans="2:7" x14ac:dyDescent="0.25">
      <c r="B104" s="222"/>
      <c r="C104" s="222"/>
      <c r="D104" s="222"/>
      <c r="E104" s="222"/>
      <c r="F104" s="222"/>
      <c r="G104" s="222"/>
    </row>
    <row r="105" spans="2:7" x14ac:dyDescent="0.25">
      <c r="B105" s="222"/>
      <c r="C105" s="222"/>
      <c r="D105" s="222"/>
      <c r="E105" s="222"/>
      <c r="F105" s="222"/>
      <c r="G105" s="222"/>
    </row>
    <row r="106" spans="2:7" x14ac:dyDescent="0.25">
      <c r="B106" s="222"/>
      <c r="C106" s="222"/>
      <c r="D106" s="222"/>
      <c r="E106" s="222"/>
      <c r="F106" s="222"/>
      <c r="G106" s="222"/>
    </row>
    <row r="107" spans="2:7" x14ac:dyDescent="0.25">
      <c r="B107" s="222"/>
      <c r="C107" s="222"/>
      <c r="D107" s="222"/>
      <c r="E107" s="222"/>
      <c r="F107" s="222"/>
      <c r="G107" s="222"/>
    </row>
    <row r="108" spans="2:7" x14ac:dyDescent="0.25">
      <c r="B108" s="222"/>
      <c r="C108" s="222"/>
      <c r="D108" s="222"/>
      <c r="E108" s="222"/>
      <c r="F108" s="222"/>
      <c r="G108" s="222"/>
    </row>
    <row r="109" spans="2:7" x14ac:dyDescent="0.25">
      <c r="B109" s="222"/>
      <c r="C109" s="222"/>
      <c r="D109" s="222"/>
      <c r="E109" s="222"/>
      <c r="F109" s="222"/>
      <c r="G109" s="222"/>
    </row>
    <row r="110" spans="2:7" x14ac:dyDescent="0.25">
      <c r="B110" s="222"/>
      <c r="C110" s="222"/>
      <c r="D110" s="222"/>
      <c r="E110" s="222"/>
      <c r="F110" s="222"/>
      <c r="G110" s="222"/>
    </row>
    <row r="111" spans="2:7" x14ac:dyDescent="0.25">
      <c r="B111" s="222"/>
      <c r="C111" s="222"/>
      <c r="D111" s="222"/>
      <c r="E111" s="222"/>
      <c r="F111" s="222"/>
      <c r="G111" s="222"/>
    </row>
    <row r="112" spans="2:7" x14ac:dyDescent="0.25">
      <c r="B112" s="222"/>
      <c r="C112" s="222"/>
      <c r="D112" s="222"/>
      <c r="E112" s="222"/>
      <c r="F112" s="222"/>
      <c r="G112" s="222"/>
    </row>
    <row r="113" spans="2:7" x14ac:dyDescent="0.25">
      <c r="B113" s="222"/>
      <c r="C113" s="222"/>
      <c r="D113" s="222"/>
      <c r="E113" s="222"/>
      <c r="F113" s="222"/>
      <c r="G113" s="222"/>
    </row>
  </sheetData>
  <mergeCells count="3">
    <mergeCell ref="B2:F2"/>
    <mergeCell ref="B9:F9"/>
    <mergeCell ref="B8:C8"/>
  </mergeCells>
  <pageMargins left="0.54" right="0.75" top="0.46" bottom="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zoomScaleNormal="100" zoomScaleSheetLayoutView="100" workbookViewId="0">
      <selection activeCell="E21" sqref="E21"/>
    </sheetView>
  </sheetViews>
  <sheetFormatPr baseColWidth="10" defaultRowHeight="12.75" x14ac:dyDescent="0.2"/>
  <cols>
    <col min="1" max="1" width="40.28515625" style="8" customWidth="1"/>
    <col min="2" max="2" width="10.7109375" style="202" customWidth="1"/>
    <col min="3" max="3" width="11.42578125" style="8" customWidth="1"/>
    <col min="4" max="4" width="11.5703125" style="8" customWidth="1"/>
    <col min="5" max="5" width="13.42578125" style="8" customWidth="1"/>
    <col min="6" max="6" width="5.28515625" style="8" customWidth="1"/>
    <col min="7" max="7" width="11.42578125" style="8"/>
    <col min="8" max="8" width="12.85546875" style="8" bestFit="1" customWidth="1"/>
    <col min="9" max="9" width="11.42578125" style="8"/>
    <col min="10" max="10" width="13.85546875" style="8" customWidth="1"/>
    <col min="11" max="16384" width="11.42578125" style="8"/>
  </cols>
  <sheetData>
    <row r="1" spans="1:22" x14ac:dyDescent="0.2">
      <c r="A1" s="159"/>
      <c r="B1" s="160"/>
      <c r="C1" s="159"/>
      <c r="D1" s="159"/>
      <c r="E1" s="159"/>
    </row>
    <row r="2" spans="1:22" x14ac:dyDescent="0.2">
      <c r="A2" s="161" t="s">
        <v>295</v>
      </c>
      <c r="B2" s="160"/>
      <c r="C2" s="162"/>
      <c r="D2" s="162"/>
      <c r="E2" s="162"/>
    </row>
    <row r="3" spans="1:22" x14ac:dyDescent="0.2">
      <c r="A3" s="162"/>
      <c r="B3" s="163"/>
      <c r="C3" s="162"/>
      <c r="D3" s="162"/>
      <c r="E3" s="162"/>
    </row>
    <row r="4" spans="1:22" s="165" customFormat="1" ht="25.5" x14ac:dyDescent="0.2">
      <c r="A4" s="91" t="s">
        <v>54</v>
      </c>
      <c r="B4" s="91" t="s">
        <v>21</v>
      </c>
      <c r="C4" s="91" t="s">
        <v>36</v>
      </c>
      <c r="D4" s="91" t="s">
        <v>245</v>
      </c>
      <c r="E4" s="91" t="s">
        <v>27</v>
      </c>
      <c r="F4" s="164"/>
      <c r="G4" s="682" t="s">
        <v>296</v>
      </c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</row>
    <row r="5" spans="1:22" x14ac:dyDescent="0.2">
      <c r="A5" s="166" t="s">
        <v>297</v>
      </c>
      <c r="B5" s="167"/>
      <c r="C5" s="168"/>
      <c r="D5" s="168"/>
      <c r="E5" s="169">
        <f>SUM(E6:E7)</f>
        <v>17750</v>
      </c>
      <c r="F5" s="11"/>
      <c r="H5" s="11"/>
      <c r="I5" s="11"/>
      <c r="J5" s="11"/>
    </row>
    <row r="6" spans="1:22" ht="15.75" customHeight="1" x14ac:dyDescent="0.2">
      <c r="A6" s="170" t="s">
        <v>338</v>
      </c>
      <c r="B6" s="92" t="s">
        <v>83</v>
      </c>
      <c r="C6" s="171">
        <v>5</v>
      </c>
      <c r="D6" s="172">
        <v>1850</v>
      </c>
      <c r="E6" s="173">
        <f>C6*D6</f>
        <v>9250</v>
      </c>
      <c r="F6" s="11"/>
      <c r="G6" s="174" t="s">
        <v>298</v>
      </c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6"/>
    </row>
    <row r="7" spans="1:22" s="161" customFormat="1" x14ac:dyDescent="0.2">
      <c r="A7" s="177" t="s">
        <v>339</v>
      </c>
      <c r="B7" s="92" t="s">
        <v>83</v>
      </c>
      <c r="C7" s="171">
        <v>5</v>
      </c>
      <c r="D7" s="172">
        <v>1700</v>
      </c>
      <c r="E7" s="173">
        <f>C7*D7</f>
        <v>8500</v>
      </c>
      <c r="F7" s="178"/>
      <c r="G7" s="174" t="s">
        <v>302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80"/>
      <c r="U7" s="180"/>
      <c r="V7" s="181"/>
    </row>
    <row r="8" spans="1:22" s="161" customFormat="1" x14ac:dyDescent="0.2">
      <c r="A8" s="166" t="s">
        <v>299</v>
      </c>
      <c r="B8" s="182"/>
      <c r="C8" s="171"/>
      <c r="D8" s="172"/>
      <c r="E8" s="169">
        <f>+SUM(E9:E9)</f>
        <v>3250</v>
      </c>
      <c r="F8" s="178"/>
    </row>
    <row r="9" spans="1:22" s="161" customFormat="1" x14ac:dyDescent="0.2">
      <c r="A9" s="183" t="s">
        <v>340</v>
      </c>
      <c r="B9" s="182" t="s">
        <v>83</v>
      </c>
      <c r="C9" s="171">
        <v>5</v>
      </c>
      <c r="D9" s="184">
        <v>650</v>
      </c>
      <c r="E9" s="173">
        <f>+C9*D9</f>
        <v>3250</v>
      </c>
      <c r="F9" s="178"/>
      <c r="G9" s="174" t="s">
        <v>300</v>
      </c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1"/>
    </row>
    <row r="10" spans="1:22" x14ac:dyDescent="0.2">
      <c r="A10" s="186" t="s">
        <v>301</v>
      </c>
      <c r="B10" s="187"/>
      <c r="C10" s="188"/>
      <c r="D10" s="188"/>
      <c r="E10" s="189">
        <f>+E5+E8</f>
        <v>21000</v>
      </c>
      <c r="F10" s="11"/>
      <c r="G10" s="11"/>
      <c r="H10" s="11"/>
      <c r="I10" s="11"/>
      <c r="J10" s="11"/>
    </row>
    <row r="11" spans="1:22" x14ac:dyDescent="0.2">
      <c r="A11" s="190"/>
      <c r="B11" s="191"/>
      <c r="C11" s="192"/>
      <c r="D11" s="193"/>
      <c r="E11" s="194"/>
      <c r="F11" s="11"/>
      <c r="G11" s="11"/>
      <c r="H11" s="11"/>
      <c r="I11" s="11"/>
      <c r="J11" s="11"/>
    </row>
    <row r="12" spans="1:22" x14ac:dyDescent="0.2">
      <c r="A12" s="195"/>
      <c r="B12" s="196"/>
      <c r="C12" s="195"/>
      <c r="D12" s="197"/>
      <c r="E12" s="195"/>
      <c r="F12" s="11"/>
      <c r="G12" s="11"/>
      <c r="H12" s="11"/>
      <c r="I12" s="11"/>
      <c r="J12" s="11"/>
    </row>
    <row r="13" spans="1:22" x14ac:dyDescent="0.2">
      <c r="A13" s="198"/>
      <c r="B13" s="93"/>
      <c r="C13" s="198"/>
      <c r="D13" s="198"/>
      <c r="E13" s="198"/>
      <c r="F13" s="11"/>
    </row>
    <row r="14" spans="1:22" x14ac:dyDescent="0.2">
      <c r="A14" s="198"/>
      <c r="B14" s="93"/>
      <c r="C14" s="198"/>
      <c r="D14" s="198"/>
      <c r="E14" s="198"/>
      <c r="F14" s="11"/>
    </row>
    <row r="15" spans="1:22" x14ac:dyDescent="0.2">
      <c r="A15" s="198"/>
      <c r="B15" s="93"/>
      <c r="C15" s="198"/>
      <c r="D15" s="198"/>
      <c r="E15" s="198"/>
      <c r="F15" s="11"/>
    </row>
    <row r="16" spans="1:22" x14ac:dyDescent="0.2">
      <c r="A16" s="198"/>
      <c r="B16" s="93"/>
      <c r="C16" s="198"/>
      <c r="D16" s="198"/>
      <c r="E16" s="198"/>
      <c r="F16" s="11"/>
    </row>
    <row r="17" spans="1:6" x14ac:dyDescent="0.2">
      <c r="A17" s="198"/>
      <c r="B17" s="93"/>
      <c r="C17" s="198"/>
      <c r="D17" s="198"/>
      <c r="E17" s="198"/>
      <c r="F17" s="11"/>
    </row>
    <row r="18" spans="1:6" x14ac:dyDescent="0.2">
      <c r="A18" s="198"/>
      <c r="B18" s="93"/>
      <c r="C18" s="198"/>
      <c r="D18" s="198"/>
      <c r="E18" s="198"/>
      <c r="F18" s="11"/>
    </row>
    <row r="19" spans="1:6" x14ac:dyDescent="0.2">
      <c r="A19" s="198"/>
      <c r="B19" s="93"/>
      <c r="C19" s="198"/>
      <c r="D19" s="198"/>
      <c r="E19" s="198"/>
      <c r="F19" s="11"/>
    </row>
    <row r="20" spans="1:6" x14ac:dyDescent="0.2">
      <c r="A20" s="198"/>
      <c r="B20" s="93"/>
      <c r="C20" s="198"/>
      <c r="D20" s="198"/>
      <c r="E20" s="198"/>
      <c r="F20" s="11"/>
    </row>
    <row r="21" spans="1:6" ht="18" x14ac:dyDescent="0.25">
      <c r="A21" s="199"/>
      <c r="B21" s="200"/>
      <c r="C21" s="199"/>
      <c r="D21" s="199"/>
      <c r="E21" s="199"/>
      <c r="F21" s="11"/>
    </row>
    <row r="22" spans="1:6" ht="18" x14ac:dyDescent="0.25">
      <c r="A22" s="199"/>
      <c r="B22" s="200"/>
      <c r="C22" s="199"/>
      <c r="D22" s="199"/>
      <c r="E22" s="199"/>
      <c r="F22" s="11"/>
    </row>
    <row r="23" spans="1:6" ht="18" x14ac:dyDescent="0.25">
      <c r="A23" s="199"/>
      <c r="B23" s="200"/>
      <c r="C23" s="199"/>
      <c r="D23" s="199"/>
      <c r="E23" s="199"/>
      <c r="F23" s="11"/>
    </row>
    <row r="24" spans="1:6" ht="18" x14ac:dyDescent="0.25">
      <c r="A24" s="199"/>
      <c r="B24" s="200"/>
      <c r="C24" s="199"/>
      <c r="D24" s="199"/>
      <c r="E24" s="199"/>
      <c r="F24" s="11"/>
    </row>
    <row r="25" spans="1:6" ht="18" x14ac:dyDescent="0.25">
      <c r="A25" s="199"/>
      <c r="B25" s="200"/>
      <c r="C25" s="199"/>
      <c r="D25" s="199"/>
      <c r="E25" s="199"/>
      <c r="F25" s="11"/>
    </row>
    <row r="26" spans="1:6" x14ac:dyDescent="0.2">
      <c r="A26" s="11"/>
      <c r="B26" s="201"/>
      <c r="C26" s="11"/>
      <c r="D26" s="11"/>
      <c r="E26" s="11"/>
      <c r="F26" s="11"/>
    </row>
  </sheetData>
  <mergeCells count="1">
    <mergeCell ref="G4:V4"/>
  </mergeCells>
  <pageMargins left="0.27559055118110237" right="0.74803149606299213" top="1.3779527559055118" bottom="0.98425196850393704" header="0" footer="0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zoomScaleNormal="100" zoomScaleSheetLayoutView="100" workbookViewId="0">
      <selection activeCell="E5" sqref="E5"/>
    </sheetView>
  </sheetViews>
  <sheetFormatPr baseColWidth="10" defaultRowHeight="12.75" x14ac:dyDescent="0.25"/>
  <cols>
    <col min="1" max="1" width="2.5703125" style="86" customWidth="1"/>
    <col min="2" max="2" width="6.28515625" style="86" bestFit="1" customWidth="1"/>
    <col min="3" max="3" width="57.42578125" style="86" customWidth="1"/>
    <col min="4" max="4" width="10.5703125" style="86" customWidth="1"/>
    <col min="5" max="5" width="11.85546875" style="86" customWidth="1"/>
    <col min="6" max="6" width="13.5703125" style="86" customWidth="1"/>
    <col min="7" max="7" width="12.5703125" style="86" customWidth="1"/>
    <col min="8" max="254" width="11.42578125" style="86"/>
    <col min="255" max="255" width="2.5703125" style="86" customWidth="1"/>
    <col min="256" max="256" width="47.85546875" style="86" customWidth="1"/>
    <col min="257" max="257" width="11.42578125" style="86"/>
    <col min="258" max="258" width="5.28515625" style="86" customWidth="1"/>
    <col min="259" max="510" width="11.42578125" style="86"/>
    <col min="511" max="511" width="2.5703125" style="86" customWidth="1"/>
    <col min="512" max="512" width="47.85546875" style="86" customWidth="1"/>
    <col min="513" max="513" width="11.42578125" style="86"/>
    <col min="514" max="514" width="5.28515625" style="86" customWidth="1"/>
    <col min="515" max="766" width="11.42578125" style="86"/>
    <col min="767" max="767" width="2.5703125" style="86" customWidth="1"/>
    <col min="768" max="768" width="47.85546875" style="86" customWidth="1"/>
    <col min="769" max="769" width="11.42578125" style="86"/>
    <col min="770" max="770" width="5.28515625" style="86" customWidth="1"/>
    <col min="771" max="1022" width="11.42578125" style="86"/>
    <col min="1023" max="1023" width="2.5703125" style="86" customWidth="1"/>
    <col min="1024" max="1024" width="47.85546875" style="86" customWidth="1"/>
    <col min="1025" max="1025" width="11.42578125" style="86"/>
    <col min="1026" max="1026" width="5.28515625" style="86" customWidth="1"/>
    <col min="1027" max="1278" width="11.42578125" style="86"/>
    <col min="1279" max="1279" width="2.5703125" style="86" customWidth="1"/>
    <col min="1280" max="1280" width="47.85546875" style="86" customWidth="1"/>
    <col min="1281" max="1281" width="11.42578125" style="86"/>
    <col min="1282" max="1282" width="5.28515625" style="86" customWidth="1"/>
    <col min="1283" max="1534" width="11.42578125" style="86"/>
    <col min="1535" max="1535" width="2.5703125" style="86" customWidth="1"/>
    <col min="1536" max="1536" width="47.85546875" style="86" customWidth="1"/>
    <col min="1537" max="1537" width="11.42578125" style="86"/>
    <col min="1538" max="1538" width="5.28515625" style="86" customWidth="1"/>
    <col min="1539" max="1790" width="11.42578125" style="86"/>
    <col min="1791" max="1791" width="2.5703125" style="86" customWidth="1"/>
    <col min="1792" max="1792" width="47.85546875" style="86" customWidth="1"/>
    <col min="1793" max="1793" width="11.42578125" style="86"/>
    <col min="1794" max="1794" width="5.28515625" style="86" customWidth="1"/>
    <col min="1795" max="2046" width="11.42578125" style="86"/>
    <col min="2047" max="2047" width="2.5703125" style="86" customWidth="1"/>
    <col min="2048" max="2048" width="47.85546875" style="86" customWidth="1"/>
    <col min="2049" max="2049" width="11.42578125" style="86"/>
    <col min="2050" max="2050" width="5.28515625" style="86" customWidth="1"/>
    <col min="2051" max="2302" width="11.42578125" style="86"/>
    <col min="2303" max="2303" width="2.5703125" style="86" customWidth="1"/>
    <col min="2304" max="2304" width="47.85546875" style="86" customWidth="1"/>
    <col min="2305" max="2305" width="11.42578125" style="86"/>
    <col min="2306" max="2306" width="5.28515625" style="86" customWidth="1"/>
    <col min="2307" max="2558" width="11.42578125" style="86"/>
    <col min="2559" max="2559" width="2.5703125" style="86" customWidth="1"/>
    <col min="2560" max="2560" width="47.85546875" style="86" customWidth="1"/>
    <col min="2561" max="2561" width="11.42578125" style="86"/>
    <col min="2562" max="2562" width="5.28515625" style="86" customWidth="1"/>
    <col min="2563" max="2814" width="11.42578125" style="86"/>
    <col min="2815" max="2815" width="2.5703125" style="86" customWidth="1"/>
    <col min="2816" max="2816" width="47.85546875" style="86" customWidth="1"/>
    <col min="2817" max="2817" width="11.42578125" style="86"/>
    <col min="2818" max="2818" width="5.28515625" style="86" customWidth="1"/>
    <col min="2819" max="3070" width="11.42578125" style="86"/>
    <col min="3071" max="3071" width="2.5703125" style="86" customWidth="1"/>
    <col min="3072" max="3072" width="47.85546875" style="86" customWidth="1"/>
    <col min="3073" max="3073" width="11.42578125" style="86"/>
    <col min="3074" max="3074" width="5.28515625" style="86" customWidth="1"/>
    <col min="3075" max="3326" width="11.42578125" style="86"/>
    <col min="3327" max="3327" width="2.5703125" style="86" customWidth="1"/>
    <col min="3328" max="3328" width="47.85546875" style="86" customWidth="1"/>
    <col min="3329" max="3329" width="11.42578125" style="86"/>
    <col min="3330" max="3330" width="5.28515625" style="86" customWidth="1"/>
    <col min="3331" max="3582" width="11.42578125" style="86"/>
    <col min="3583" max="3583" width="2.5703125" style="86" customWidth="1"/>
    <col min="3584" max="3584" width="47.85546875" style="86" customWidth="1"/>
    <col min="3585" max="3585" width="11.42578125" style="86"/>
    <col min="3586" max="3586" width="5.28515625" style="86" customWidth="1"/>
    <col min="3587" max="3838" width="11.42578125" style="86"/>
    <col min="3839" max="3839" width="2.5703125" style="86" customWidth="1"/>
    <col min="3840" max="3840" width="47.85546875" style="86" customWidth="1"/>
    <col min="3841" max="3841" width="11.42578125" style="86"/>
    <col min="3842" max="3842" width="5.28515625" style="86" customWidth="1"/>
    <col min="3843" max="4094" width="11.42578125" style="86"/>
    <col min="4095" max="4095" width="2.5703125" style="86" customWidth="1"/>
    <col min="4096" max="4096" width="47.85546875" style="86" customWidth="1"/>
    <col min="4097" max="4097" width="11.42578125" style="86"/>
    <col min="4098" max="4098" width="5.28515625" style="86" customWidth="1"/>
    <col min="4099" max="4350" width="11.42578125" style="86"/>
    <col min="4351" max="4351" width="2.5703125" style="86" customWidth="1"/>
    <col min="4352" max="4352" width="47.85546875" style="86" customWidth="1"/>
    <col min="4353" max="4353" width="11.42578125" style="86"/>
    <col min="4354" max="4354" width="5.28515625" style="86" customWidth="1"/>
    <col min="4355" max="4606" width="11.42578125" style="86"/>
    <col min="4607" max="4607" width="2.5703125" style="86" customWidth="1"/>
    <col min="4608" max="4608" width="47.85546875" style="86" customWidth="1"/>
    <col min="4609" max="4609" width="11.42578125" style="86"/>
    <col min="4610" max="4610" width="5.28515625" style="86" customWidth="1"/>
    <col min="4611" max="4862" width="11.42578125" style="86"/>
    <col min="4863" max="4863" width="2.5703125" style="86" customWidth="1"/>
    <col min="4864" max="4864" width="47.85546875" style="86" customWidth="1"/>
    <col min="4865" max="4865" width="11.42578125" style="86"/>
    <col min="4866" max="4866" width="5.28515625" style="86" customWidth="1"/>
    <col min="4867" max="5118" width="11.42578125" style="86"/>
    <col min="5119" max="5119" width="2.5703125" style="86" customWidth="1"/>
    <col min="5120" max="5120" width="47.85546875" style="86" customWidth="1"/>
    <col min="5121" max="5121" width="11.42578125" style="86"/>
    <col min="5122" max="5122" width="5.28515625" style="86" customWidth="1"/>
    <col min="5123" max="5374" width="11.42578125" style="86"/>
    <col min="5375" max="5375" width="2.5703125" style="86" customWidth="1"/>
    <col min="5376" max="5376" width="47.85546875" style="86" customWidth="1"/>
    <col min="5377" max="5377" width="11.42578125" style="86"/>
    <col min="5378" max="5378" width="5.28515625" style="86" customWidth="1"/>
    <col min="5379" max="5630" width="11.42578125" style="86"/>
    <col min="5631" max="5631" width="2.5703125" style="86" customWidth="1"/>
    <col min="5632" max="5632" width="47.85546875" style="86" customWidth="1"/>
    <col min="5633" max="5633" width="11.42578125" style="86"/>
    <col min="5634" max="5634" width="5.28515625" style="86" customWidth="1"/>
    <col min="5635" max="5886" width="11.42578125" style="86"/>
    <col min="5887" max="5887" width="2.5703125" style="86" customWidth="1"/>
    <col min="5888" max="5888" width="47.85546875" style="86" customWidth="1"/>
    <col min="5889" max="5889" width="11.42578125" style="86"/>
    <col min="5890" max="5890" width="5.28515625" style="86" customWidth="1"/>
    <col min="5891" max="6142" width="11.42578125" style="86"/>
    <col min="6143" max="6143" width="2.5703125" style="86" customWidth="1"/>
    <col min="6144" max="6144" width="47.85546875" style="86" customWidth="1"/>
    <col min="6145" max="6145" width="11.42578125" style="86"/>
    <col min="6146" max="6146" width="5.28515625" style="86" customWidth="1"/>
    <col min="6147" max="6398" width="11.42578125" style="86"/>
    <col min="6399" max="6399" width="2.5703125" style="86" customWidth="1"/>
    <col min="6400" max="6400" width="47.85546875" style="86" customWidth="1"/>
    <col min="6401" max="6401" width="11.42578125" style="86"/>
    <col min="6402" max="6402" width="5.28515625" style="86" customWidth="1"/>
    <col min="6403" max="6654" width="11.42578125" style="86"/>
    <col min="6655" max="6655" width="2.5703125" style="86" customWidth="1"/>
    <col min="6656" max="6656" width="47.85546875" style="86" customWidth="1"/>
    <col min="6657" max="6657" width="11.42578125" style="86"/>
    <col min="6658" max="6658" width="5.28515625" style="86" customWidth="1"/>
    <col min="6659" max="6910" width="11.42578125" style="86"/>
    <col min="6911" max="6911" width="2.5703125" style="86" customWidth="1"/>
    <col min="6912" max="6912" width="47.85546875" style="86" customWidth="1"/>
    <col min="6913" max="6913" width="11.42578125" style="86"/>
    <col min="6914" max="6914" width="5.28515625" style="86" customWidth="1"/>
    <col min="6915" max="7166" width="11.42578125" style="86"/>
    <col min="7167" max="7167" width="2.5703125" style="86" customWidth="1"/>
    <col min="7168" max="7168" width="47.85546875" style="86" customWidth="1"/>
    <col min="7169" max="7169" width="11.42578125" style="86"/>
    <col min="7170" max="7170" width="5.28515625" style="86" customWidth="1"/>
    <col min="7171" max="7422" width="11.42578125" style="86"/>
    <col min="7423" max="7423" width="2.5703125" style="86" customWidth="1"/>
    <col min="7424" max="7424" width="47.85546875" style="86" customWidth="1"/>
    <col min="7425" max="7425" width="11.42578125" style="86"/>
    <col min="7426" max="7426" width="5.28515625" style="86" customWidth="1"/>
    <col min="7427" max="7678" width="11.42578125" style="86"/>
    <col min="7679" max="7679" width="2.5703125" style="86" customWidth="1"/>
    <col min="7680" max="7680" width="47.85546875" style="86" customWidth="1"/>
    <col min="7681" max="7681" width="11.42578125" style="86"/>
    <col min="7682" max="7682" width="5.28515625" style="86" customWidth="1"/>
    <col min="7683" max="7934" width="11.42578125" style="86"/>
    <col min="7935" max="7935" width="2.5703125" style="86" customWidth="1"/>
    <col min="7936" max="7936" width="47.85546875" style="86" customWidth="1"/>
    <col min="7937" max="7937" width="11.42578125" style="86"/>
    <col min="7938" max="7938" width="5.28515625" style="86" customWidth="1"/>
    <col min="7939" max="8190" width="11.42578125" style="86"/>
    <col min="8191" max="8191" width="2.5703125" style="86" customWidth="1"/>
    <col min="8192" max="8192" width="47.85546875" style="86" customWidth="1"/>
    <col min="8193" max="8193" width="11.42578125" style="86"/>
    <col min="8194" max="8194" width="5.28515625" style="86" customWidth="1"/>
    <col min="8195" max="8446" width="11.42578125" style="86"/>
    <col min="8447" max="8447" width="2.5703125" style="86" customWidth="1"/>
    <col min="8448" max="8448" width="47.85546875" style="86" customWidth="1"/>
    <col min="8449" max="8449" width="11.42578125" style="86"/>
    <col min="8450" max="8450" width="5.28515625" style="86" customWidth="1"/>
    <col min="8451" max="8702" width="11.42578125" style="86"/>
    <col min="8703" max="8703" width="2.5703125" style="86" customWidth="1"/>
    <col min="8704" max="8704" width="47.85546875" style="86" customWidth="1"/>
    <col min="8705" max="8705" width="11.42578125" style="86"/>
    <col min="8706" max="8706" width="5.28515625" style="86" customWidth="1"/>
    <col min="8707" max="8958" width="11.42578125" style="86"/>
    <col min="8959" max="8959" width="2.5703125" style="86" customWidth="1"/>
    <col min="8960" max="8960" width="47.85546875" style="86" customWidth="1"/>
    <col min="8961" max="8961" width="11.42578125" style="86"/>
    <col min="8962" max="8962" width="5.28515625" style="86" customWidth="1"/>
    <col min="8963" max="9214" width="11.42578125" style="86"/>
    <col min="9215" max="9215" width="2.5703125" style="86" customWidth="1"/>
    <col min="9216" max="9216" width="47.85546875" style="86" customWidth="1"/>
    <col min="9217" max="9217" width="11.42578125" style="86"/>
    <col min="9218" max="9218" width="5.28515625" style="86" customWidth="1"/>
    <col min="9219" max="9470" width="11.42578125" style="86"/>
    <col min="9471" max="9471" width="2.5703125" style="86" customWidth="1"/>
    <col min="9472" max="9472" width="47.85546875" style="86" customWidth="1"/>
    <col min="9473" max="9473" width="11.42578125" style="86"/>
    <col min="9474" max="9474" width="5.28515625" style="86" customWidth="1"/>
    <col min="9475" max="9726" width="11.42578125" style="86"/>
    <col min="9727" max="9727" width="2.5703125" style="86" customWidth="1"/>
    <col min="9728" max="9728" width="47.85546875" style="86" customWidth="1"/>
    <col min="9729" max="9729" width="11.42578125" style="86"/>
    <col min="9730" max="9730" width="5.28515625" style="86" customWidth="1"/>
    <col min="9731" max="9982" width="11.42578125" style="86"/>
    <col min="9983" max="9983" width="2.5703125" style="86" customWidth="1"/>
    <col min="9984" max="9984" width="47.85546875" style="86" customWidth="1"/>
    <col min="9985" max="9985" width="11.42578125" style="86"/>
    <col min="9986" max="9986" width="5.28515625" style="86" customWidth="1"/>
    <col min="9987" max="10238" width="11.42578125" style="86"/>
    <col min="10239" max="10239" width="2.5703125" style="86" customWidth="1"/>
    <col min="10240" max="10240" width="47.85546875" style="86" customWidth="1"/>
    <col min="10241" max="10241" width="11.42578125" style="86"/>
    <col min="10242" max="10242" width="5.28515625" style="86" customWidth="1"/>
    <col min="10243" max="10494" width="11.42578125" style="86"/>
    <col min="10495" max="10495" width="2.5703125" style="86" customWidth="1"/>
    <col min="10496" max="10496" width="47.85546875" style="86" customWidth="1"/>
    <col min="10497" max="10497" width="11.42578125" style="86"/>
    <col min="10498" max="10498" width="5.28515625" style="86" customWidth="1"/>
    <col min="10499" max="10750" width="11.42578125" style="86"/>
    <col min="10751" max="10751" width="2.5703125" style="86" customWidth="1"/>
    <col min="10752" max="10752" width="47.85546875" style="86" customWidth="1"/>
    <col min="10753" max="10753" width="11.42578125" style="86"/>
    <col min="10754" max="10754" width="5.28515625" style="86" customWidth="1"/>
    <col min="10755" max="11006" width="11.42578125" style="86"/>
    <col min="11007" max="11007" width="2.5703125" style="86" customWidth="1"/>
    <col min="11008" max="11008" width="47.85546875" style="86" customWidth="1"/>
    <col min="11009" max="11009" width="11.42578125" style="86"/>
    <col min="11010" max="11010" width="5.28515625" style="86" customWidth="1"/>
    <col min="11011" max="11262" width="11.42578125" style="86"/>
    <col min="11263" max="11263" width="2.5703125" style="86" customWidth="1"/>
    <col min="11264" max="11264" width="47.85546875" style="86" customWidth="1"/>
    <col min="11265" max="11265" width="11.42578125" style="86"/>
    <col min="11266" max="11266" width="5.28515625" style="86" customWidth="1"/>
    <col min="11267" max="11518" width="11.42578125" style="86"/>
    <col min="11519" max="11519" width="2.5703125" style="86" customWidth="1"/>
    <col min="11520" max="11520" width="47.85546875" style="86" customWidth="1"/>
    <col min="11521" max="11521" width="11.42578125" style="86"/>
    <col min="11522" max="11522" width="5.28515625" style="86" customWidth="1"/>
    <col min="11523" max="11774" width="11.42578125" style="86"/>
    <col min="11775" max="11775" width="2.5703125" style="86" customWidth="1"/>
    <col min="11776" max="11776" width="47.85546875" style="86" customWidth="1"/>
    <col min="11777" max="11777" width="11.42578125" style="86"/>
    <col min="11778" max="11778" width="5.28515625" style="86" customWidth="1"/>
    <col min="11779" max="12030" width="11.42578125" style="86"/>
    <col min="12031" max="12031" width="2.5703125" style="86" customWidth="1"/>
    <col min="12032" max="12032" width="47.85546875" style="86" customWidth="1"/>
    <col min="12033" max="12033" width="11.42578125" style="86"/>
    <col min="12034" max="12034" width="5.28515625" style="86" customWidth="1"/>
    <col min="12035" max="12286" width="11.42578125" style="86"/>
    <col min="12287" max="12287" width="2.5703125" style="86" customWidth="1"/>
    <col min="12288" max="12288" width="47.85546875" style="86" customWidth="1"/>
    <col min="12289" max="12289" width="11.42578125" style="86"/>
    <col min="12290" max="12290" width="5.28515625" style="86" customWidth="1"/>
    <col min="12291" max="12542" width="11.42578125" style="86"/>
    <col min="12543" max="12543" width="2.5703125" style="86" customWidth="1"/>
    <col min="12544" max="12544" width="47.85546875" style="86" customWidth="1"/>
    <col min="12545" max="12545" width="11.42578125" style="86"/>
    <col min="12546" max="12546" width="5.28515625" style="86" customWidth="1"/>
    <col min="12547" max="12798" width="11.42578125" style="86"/>
    <col min="12799" max="12799" width="2.5703125" style="86" customWidth="1"/>
    <col min="12800" max="12800" width="47.85546875" style="86" customWidth="1"/>
    <col min="12801" max="12801" width="11.42578125" style="86"/>
    <col min="12802" max="12802" width="5.28515625" style="86" customWidth="1"/>
    <col min="12803" max="13054" width="11.42578125" style="86"/>
    <col min="13055" max="13055" width="2.5703125" style="86" customWidth="1"/>
    <col min="13056" max="13056" width="47.85546875" style="86" customWidth="1"/>
    <col min="13057" max="13057" width="11.42578125" style="86"/>
    <col min="13058" max="13058" width="5.28515625" style="86" customWidth="1"/>
    <col min="13059" max="13310" width="11.42578125" style="86"/>
    <col min="13311" max="13311" width="2.5703125" style="86" customWidth="1"/>
    <col min="13312" max="13312" width="47.85546875" style="86" customWidth="1"/>
    <col min="13313" max="13313" width="11.42578125" style="86"/>
    <col min="13314" max="13314" width="5.28515625" style="86" customWidth="1"/>
    <col min="13315" max="13566" width="11.42578125" style="86"/>
    <col min="13567" max="13567" width="2.5703125" style="86" customWidth="1"/>
    <col min="13568" max="13568" width="47.85546875" style="86" customWidth="1"/>
    <col min="13569" max="13569" width="11.42578125" style="86"/>
    <col min="13570" max="13570" width="5.28515625" style="86" customWidth="1"/>
    <col min="13571" max="13822" width="11.42578125" style="86"/>
    <col min="13823" max="13823" width="2.5703125" style="86" customWidth="1"/>
    <col min="13824" max="13824" width="47.85546875" style="86" customWidth="1"/>
    <col min="13825" max="13825" width="11.42578125" style="86"/>
    <col min="13826" max="13826" width="5.28515625" style="86" customWidth="1"/>
    <col min="13827" max="14078" width="11.42578125" style="86"/>
    <col min="14079" max="14079" width="2.5703125" style="86" customWidth="1"/>
    <col min="14080" max="14080" width="47.85546875" style="86" customWidth="1"/>
    <col min="14081" max="14081" width="11.42578125" style="86"/>
    <col min="14082" max="14082" width="5.28515625" style="86" customWidth="1"/>
    <col min="14083" max="14334" width="11.42578125" style="86"/>
    <col min="14335" max="14335" width="2.5703125" style="86" customWidth="1"/>
    <col min="14336" max="14336" width="47.85546875" style="86" customWidth="1"/>
    <col min="14337" max="14337" width="11.42578125" style="86"/>
    <col min="14338" max="14338" width="5.28515625" style="86" customWidth="1"/>
    <col min="14339" max="14590" width="11.42578125" style="86"/>
    <col min="14591" max="14591" width="2.5703125" style="86" customWidth="1"/>
    <col min="14592" max="14592" width="47.85546875" style="86" customWidth="1"/>
    <col min="14593" max="14593" width="11.42578125" style="86"/>
    <col min="14594" max="14594" width="5.28515625" style="86" customWidth="1"/>
    <col min="14595" max="14846" width="11.42578125" style="86"/>
    <col min="14847" max="14847" width="2.5703125" style="86" customWidth="1"/>
    <col min="14848" max="14848" width="47.85546875" style="86" customWidth="1"/>
    <col min="14849" max="14849" width="11.42578125" style="86"/>
    <col min="14850" max="14850" width="5.28515625" style="86" customWidth="1"/>
    <col min="14851" max="15102" width="11.42578125" style="86"/>
    <col min="15103" max="15103" width="2.5703125" style="86" customWidth="1"/>
    <col min="15104" max="15104" width="47.85546875" style="86" customWidth="1"/>
    <col min="15105" max="15105" width="11.42578125" style="86"/>
    <col min="15106" max="15106" width="5.28515625" style="86" customWidth="1"/>
    <col min="15107" max="15358" width="11.42578125" style="86"/>
    <col min="15359" max="15359" width="2.5703125" style="86" customWidth="1"/>
    <col min="15360" max="15360" width="47.85546875" style="86" customWidth="1"/>
    <col min="15361" max="15361" width="11.42578125" style="86"/>
    <col min="15362" max="15362" width="5.28515625" style="86" customWidth="1"/>
    <col min="15363" max="15614" width="11.42578125" style="86"/>
    <col min="15615" max="15615" width="2.5703125" style="86" customWidth="1"/>
    <col min="15616" max="15616" width="47.85546875" style="86" customWidth="1"/>
    <col min="15617" max="15617" width="11.42578125" style="86"/>
    <col min="15618" max="15618" width="5.28515625" style="86" customWidth="1"/>
    <col min="15619" max="15870" width="11.42578125" style="86"/>
    <col min="15871" max="15871" width="2.5703125" style="86" customWidth="1"/>
    <col min="15872" max="15872" width="47.85546875" style="86" customWidth="1"/>
    <col min="15873" max="15873" width="11.42578125" style="86"/>
    <col min="15874" max="15874" width="5.28515625" style="86" customWidth="1"/>
    <col min="15875" max="16126" width="11.42578125" style="86"/>
    <col min="16127" max="16127" width="2.5703125" style="86" customWidth="1"/>
    <col min="16128" max="16128" width="47.85546875" style="86" customWidth="1"/>
    <col min="16129" max="16129" width="11.42578125" style="86"/>
    <col min="16130" max="16130" width="5.28515625" style="86" customWidth="1"/>
    <col min="16131" max="16384" width="11.42578125" style="86"/>
  </cols>
  <sheetData>
    <row r="2" spans="2:7" x14ac:dyDescent="0.25">
      <c r="B2" s="88"/>
      <c r="C2" s="88"/>
      <c r="D2" s="87"/>
      <c r="E2" s="87"/>
      <c r="F2" s="87"/>
      <c r="G2" s="87"/>
    </row>
    <row r="3" spans="2:7" ht="22.5" x14ac:dyDescent="0.25">
      <c r="B3" s="84" t="s">
        <v>243</v>
      </c>
      <c r="C3" s="84" t="s">
        <v>54</v>
      </c>
      <c r="D3" s="84" t="s">
        <v>244</v>
      </c>
      <c r="E3" s="84" t="s">
        <v>36</v>
      </c>
      <c r="F3" s="84" t="s">
        <v>245</v>
      </c>
      <c r="G3" s="84" t="s">
        <v>27</v>
      </c>
    </row>
    <row r="4" spans="2:7" x14ac:dyDescent="0.25">
      <c r="B4" s="18" t="s">
        <v>246</v>
      </c>
      <c r="C4" s="19" t="s">
        <v>247</v>
      </c>
      <c r="D4" s="20"/>
      <c r="E4" s="20"/>
      <c r="F4" s="21"/>
      <c r="G4" s="21">
        <f>SUM(G5:G5)</f>
        <v>6750</v>
      </c>
    </row>
    <row r="5" spans="2:7" ht="22.5" x14ac:dyDescent="0.25">
      <c r="B5" s="89" t="s">
        <v>248</v>
      </c>
      <c r="C5" s="22" t="s">
        <v>337</v>
      </c>
      <c r="D5" s="23" t="s">
        <v>249</v>
      </c>
      <c r="E5" s="24">
        <v>3</v>
      </c>
      <c r="F5" s="25">
        <v>2250</v>
      </c>
      <c r="G5" s="25">
        <f>E5*F5</f>
        <v>6750</v>
      </c>
    </row>
  </sheetData>
  <pageMargins left="0.4" right="0.75" top="2.34" bottom="1" header="0" footer="0"/>
  <pageSetup paperSize="9" scale="5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opLeftCell="A7" zoomScale="110" zoomScaleNormal="110" zoomScaleSheetLayoutView="106" workbookViewId="0">
      <selection activeCell="B9" sqref="B9:D12"/>
    </sheetView>
  </sheetViews>
  <sheetFormatPr baseColWidth="10" defaultRowHeight="12.75" x14ac:dyDescent="0.25"/>
  <cols>
    <col min="1" max="1" width="11.42578125" style="638"/>
    <col min="2" max="2" width="44.28515625" style="638" customWidth="1"/>
    <col min="3" max="4" width="16" style="638" customWidth="1"/>
    <col min="5" max="6" width="14.7109375" style="638" bestFit="1" customWidth="1"/>
    <col min="7" max="9" width="16.5703125" style="638" bestFit="1" customWidth="1"/>
    <col min="10" max="10" width="11.5703125" style="638" bestFit="1" customWidth="1"/>
    <col min="11" max="11" width="11.42578125" style="638"/>
    <col min="12" max="12" width="32.140625" style="638" customWidth="1"/>
    <col min="13" max="258" width="11.42578125" style="638"/>
    <col min="259" max="259" width="44.28515625" style="638" customWidth="1"/>
    <col min="260" max="260" width="16" style="638" customWidth="1"/>
    <col min="261" max="265" width="9.85546875" style="638" customWidth="1"/>
    <col min="266" max="266" width="11.5703125" style="638" bestFit="1" customWidth="1"/>
    <col min="267" max="514" width="11.42578125" style="638"/>
    <col min="515" max="515" width="44.28515625" style="638" customWidth="1"/>
    <col min="516" max="516" width="16" style="638" customWidth="1"/>
    <col min="517" max="521" width="9.85546875" style="638" customWidth="1"/>
    <col min="522" max="522" width="11.5703125" style="638" bestFit="1" customWidth="1"/>
    <col min="523" max="770" width="11.42578125" style="638"/>
    <col min="771" max="771" width="44.28515625" style="638" customWidth="1"/>
    <col min="772" max="772" width="16" style="638" customWidth="1"/>
    <col min="773" max="777" width="9.85546875" style="638" customWidth="1"/>
    <col min="778" max="778" width="11.5703125" style="638" bestFit="1" customWidth="1"/>
    <col min="779" max="1026" width="11.42578125" style="638"/>
    <col min="1027" max="1027" width="44.28515625" style="638" customWidth="1"/>
    <col min="1028" max="1028" width="16" style="638" customWidth="1"/>
    <col min="1029" max="1033" width="9.85546875" style="638" customWidth="1"/>
    <col min="1034" max="1034" width="11.5703125" style="638" bestFit="1" customWidth="1"/>
    <col min="1035" max="1282" width="11.42578125" style="638"/>
    <col min="1283" max="1283" width="44.28515625" style="638" customWidth="1"/>
    <col min="1284" max="1284" width="16" style="638" customWidth="1"/>
    <col min="1285" max="1289" width="9.85546875" style="638" customWidth="1"/>
    <col min="1290" max="1290" width="11.5703125" style="638" bestFit="1" customWidth="1"/>
    <col min="1291" max="1538" width="11.42578125" style="638"/>
    <col min="1539" max="1539" width="44.28515625" style="638" customWidth="1"/>
    <col min="1540" max="1540" width="16" style="638" customWidth="1"/>
    <col min="1541" max="1545" width="9.85546875" style="638" customWidth="1"/>
    <col min="1546" max="1546" width="11.5703125" style="638" bestFit="1" customWidth="1"/>
    <col min="1547" max="1794" width="11.42578125" style="638"/>
    <col min="1795" max="1795" width="44.28515625" style="638" customWidth="1"/>
    <col min="1796" max="1796" width="16" style="638" customWidth="1"/>
    <col min="1797" max="1801" width="9.85546875" style="638" customWidth="1"/>
    <col min="1802" max="1802" width="11.5703125" style="638" bestFit="1" customWidth="1"/>
    <col min="1803" max="2050" width="11.42578125" style="638"/>
    <col min="2051" max="2051" width="44.28515625" style="638" customWidth="1"/>
    <col min="2052" max="2052" width="16" style="638" customWidth="1"/>
    <col min="2053" max="2057" width="9.85546875" style="638" customWidth="1"/>
    <col min="2058" max="2058" width="11.5703125" style="638" bestFit="1" customWidth="1"/>
    <col min="2059" max="2306" width="11.42578125" style="638"/>
    <col min="2307" max="2307" width="44.28515625" style="638" customWidth="1"/>
    <col min="2308" max="2308" width="16" style="638" customWidth="1"/>
    <col min="2309" max="2313" width="9.85546875" style="638" customWidth="1"/>
    <col min="2314" max="2314" width="11.5703125" style="638" bestFit="1" customWidth="1"/>
    <col min="2315" max="2562" width="11.42578125" style="638"/>
    <col min="2563" max="2563" width="44.28515625" style="638" customWidth="1"/>
    <col min="2564" max="2564" width="16" style="638" customWidth="1"/>
    <col min="2565" max="2569" width="9.85546875" style="638" customWidth="1"/>
    <col min="2570" max="2570" width="11.5703125" style="638" bestFit="1" customWidth="1"/>
    <col min="2571" max="2818" width="11.42578125" style="638"/>
    <col min="2819" max="2819" width="44.28515625" style="638" customWidth="1"/>
    <col min="2820" max="2820" width="16" style="638" customWidth="1"/>
    <col min="2821" max="2825" width="9.85546875" style="638" customWidth="1"/>
    <col min="2826" max="2826" width="11.5703125" style="638" bestFit="1" customWidth="1"/>
    <col min="2827" max="3074" width="11.42578125" style="638"/>
    <col min="3075" max="3075" width="44.28515625" style="638" customWidth="1"/>
    <col min="3076" max="3076" width="16" style="638" customWidth="1"/>
    <col min="3077" max="3081" width="9.85546875" style="638" customWidth="1"/>
    <col min="3082" max="3082" width="11.5703125" style="638" bestFit="1" customWidth="1"/>
    <col min="3083" max="3330" width="11.42578125" style="638"/>
    <col min="3331" max="3331" width="44.28515625" style="638" customWidth="1"/>
    <col min="3332" max="3332" width="16" style="638" customWidth="1"/>
    <col min="3333" max="3337" width="9.85546875" style="638" customWidth="1"/>
    <col min="3338" max="3338" width="11.5703125" style="638" bestFit="1" customWidth="1"/>
    <col min="3339" max="3586" width="11.42578125" style="638"/>
    <col min="3587" max="3587" width="44.28515625" style="638" customWidth="1"/>
    <col min="3588" max="3588" width="16" style="638" customWidth="1"/>
    <col min="3589" max="3593" width="9.85546875" style="638" customWidth="1"/>
    <col min="3594" max="3594" width="11.5703125" style="638" bestFit="1" customWidth="1"/>
    <col min="3595" max="3842" width="11.42578125" style="638"/>
    <col min="3843" max="3843" width="44.28515625" style="638" customWidth="1"/>
    <col min="3844" max="3844" width="16" style="638" customWidth="1"/>
    <col min="3845" max="3849" width="9.85546875" style="638" customWidth="1"/>
    <col min="3850" max="3850" width="11.5703125" style="638" bestFit="1" customWidth="1"/>
    <col min="3851" max="4098" width="11.42578125" style="638"/>
    <col min="4099" max="4099" width="44.28515625" style="638" customWidth="1"/>
    <col min="4100" max="4100" width="16" style="638" customWidth="1"/>
    <col min="4101" max="4105" width="9.85546875" style="638" customWidth="1"/>
    <col min="4106" max="4106" width="11.5703125" style="638" bestFit="1" customWidth="1"/>
    <col min="4107" max="4354" width="11.42578125" style="638"/>
    <col min="4355" max="4355" width="44.28515625" style="638" customWidth="1"/>
    <col min="4356" max="4356" width="16" style="638" customWidth="1"/>
    <col min="4357" max="4361" width="9.85546875" style="638" customWidth="1"/>
    <col min="4362" max="4362" width="11.5703125" style="638" bestFit="1" customWidth="1"/>
    <col min="4363" max="4610" width="11.42578125" style="638"/>
    <col min="4611" max="4611" width="44.28515625" style="638" customWidth="1"/>
    <col min="4612" max="4612" width="16" style="638" customWidth="1"/>
    <col min="4613" max="4617" width="9.85546875" style="638" customWidth="1"/>
    <col min="4618" max="4618" width="11.5703125" style="638" bestFit="1" customWidth="1"/>
    <col min="4619" max="4866" width="11.42578125" style="638"/>
    <col min="4867" max="4867" width="44.28515625" style="638" customWidth="1"/>
    <col min="4868" max="4868" width="16" style="638" customWidth="1"/>
    <col min="4869" max="4873" width="9.85546875" style="638" customWidth="1"/>
    <col min="4874" max="4874" width="11.5703125" style="638" bestFit="1" customWidth="1"/>
    <col min="4875" max="5122" width="11.42578125" style="638"/>
    <col min="5123" max="5123" width="44.28515625" style="638" customWidth="1"/>
    <col min="5124" max="5124" width="16" style="638" customWidth="1"/>
    <col min="5125" max="5129" width="9.85546875" style="638" customWidth="1"/>
    <col min="5130" max="5130" width="11.5703125" style="638" bestFit="1" customWidth="1"/>
    <col min="5131" max="5378" width="11.42578125" style="638"/>
    <col min="5379" max="5379" width="44.28515625" style="638" customWidth="1"/>
    <col min="5380" max="5380" width="16" style="638" customWidth="1"/>
    <col min="5381" max="5385" width="9.85546875" style="638" customWidth="1"/>
    <col min="5386" max="5386" width="11.5703125" style="638" bestFit="1" customWidth="1"/>
    <col min="5387" max="5634" width="11.42578125" style="638"/>
    <col min="5635" max="5635" width="44.28515625" style="638" customWidth="1"/>
    <col min="5636" max="5636" width="16" style="638" customWidth="1"/>
    <col min="5637" max="5641" width="9.85546875" style="638" customWidth="1"/>
    <col min="5642" max="5642" width="11.5703125" style="638" bestFit="1" customWidth="1"/>
    <col min="5643" max="5890" width="11.42578125" style="638"/>
    <col min="5891" max="5891" width="44.28515625" style="638" customWidth="1"/>
    <col min="5892" max="5892" width="16" style="638" customWidth="1"/>
    <col min="5893" max="5897" width="9.85546875" style="638" customWidth="1"/>
    <col min="5898" max="5898" width="11.5703125" style="638" bestFit="1" customWidth="1"/>
    <col min="5899" max="6146" width="11.42578125" style="638"/>
    <col min="6147" max="6147" width="44.28515625" style="638" customWidth="1"/>
    <col min="6148" max="6148" width="16" style="638" customWidth="1"/>
    <col min="6149" max="6153" width="9.85546875" style="638" customWidth="1"/>
    <col min="6154" max="6154" width="11.5703125" style="638" bestFit="1" customWidth="1"/>
    <col min="6155" max="6402" width="11.42578125" style="638"/>
    <col min="6403" max="6403" width="44.28515625" style="638" customWidth="1"/>
    <col min="6404" max="6404" width="16" style="638" customWidth="1"/>
    <col min="6405" max="6409" width="9.85546875" style="638" customWidth="1"/>
    <col min="6410" max="6410" width="11.5703125" style="638" bestFit="1" customWidth="1"/>
    <col min="6411" max="6658" width="11.42578125" style="638"/>
    <col min="6659" max="6659" width="44.28515625" style="638" customWidth="1"/>
    <col min="6660" max="6660" width="16" style="638" customWidth="1"/>
    <col min="6661" max="6665" width="9.85546875" style="638" customWidth="1"/>
    <col min="6666" max="6666" width="11.5703125" style="638" bestFit="1" customWidth="1"/>
    <col min="6667" max="6914" width="11.42578125" style="638"/>
    <col min="6915" max="6915" width="44.28515625" style="638" customWidth="1"/>
    <col min="6916" max="6916" width="16" style="638" customWidth="1"/>
    <col min="6917" max="6921" width="9.85546875" style="638" customWidth="1"/>
    <col min="6922" max="6922" width="11.5703125" style="638" bestFit="1" customWidth="1"/>
    <col min="6923" max="7170" width="11.42578125" style="638"/>
    <col min="7171" max="7171" width="44.28515625" style="638" customWidth="1"/>
    <col min="7172" max="7172" width="16" style="638" customWidth="1"/>
    <col min="7173" max="7177" width="9.85546875" style="638" customWidth="1"/>
    <col min="7178" max="7178" width="11.5703125" style="638" bestFit="1" customWidth="1"/>
    <col min="7179" max="7426" width="11.42578125" style="638"/>
    <col min="7427" max="7427" width="44.28515625" style="638" customWidth="1"/>
    <col min="7428" max="7428" width="16" style="638" customWidth="1"/>
    <col min="7429" max="7433" width="9.85546875" style="638" customWidth="1"/>
    <col min="7434" max="7434" width="11.5703125" style="638" bestFit="1" customWidth="1"/>
    <col min="7435" max="7682" width="11.42578125" style="638"/>
    <col min="7683" max="7683" width="44.28515625" style="638" customWidth="1"/>
    <col min="7684" max="7684" width="16" style="638" customWidth="1"/>
    <col min="7685" max="7689" width="9.85546875" style="638" customWidth="1"/>
    <col min="7690" max="7690" width="11.5703125" style="638" bestFit="1" customWidth="1"/>
    <col min="7691" max="7938" width="11.42578125" style="638"/>
    <col min="7939" max="7939" width="44.28515625" style="638" customWidth="1"/>
    <col min="7940" max="7940" width="16" style="638" customWidth="1"/>
    <col min="7941" max="7945" width="9.85546875" style="638" customWidth="1"/>
    <col min="7946" max="7946" width="11.5703125" style="638" bestFit="1" customWidth="1"/>
    <col min="7947" max="8194" width="11.42578125" style="638"/>
    <col min="8195" max="8195" width="44.28515625" style="638" customWidth="1"/>
    <col min="8196" max="8196" width="16" style="638" customWidth="1"/>
    <col min="8197" max="8201" width="9.85546875" style="638" customWidth="1"/>
    <col min="8202" max="8202" width="11.5703125" style="638" bestFit="1" customWidth="1"/>
    <col min="8203" max="8450" width="11.42578125" style="638"/>
    <col min="8451" max="8451" width="44.28515625" style="638" customWidth="1"/>
    <col min="8452" max="8452" width="16" style="638" customWidth="1"/>
    <col min="8453" max="8457" width="9.85546875" style="638" customWidth="1"/>
    <col min="8458" max="8458" width="11.5703125" style="638" bestFit="1" customWidth="1"/>
    <col min="8459" max="8706" width="11.42578125" style="638"/>
    <col min="8707" max="8707" width="44.28515625" style="638" customWidth="1"/>
    <col min="8708" max="8708" width="16" style="638" customWidth="1"/>
    <col min="8709" max="8713" width="9.85546875" style="638" customWidth="1"/>
    <col min="8714" max="8714" width="11.5703125" style="638" bestFit="1" customWidth="1"/>
    <col min="8715" max="8962" width="11.42578125" style="638"/>
    <col min="8963" max="8963" width="44.28515625" style="638" customWidth="1"/>
    <col min="8964" max="8964" width="16" style="638" customWidth="1"/>
    <col min="8965" max="8969" width="9.85546875" style="638" customWidth="1"/>
    <col min="8970" max="8970" width="11.5703125" style="638" bestFit="1" customWidth="1"/>
    <col min="8971" max="9218" width="11.42578125" style="638"/>
    <col min="9219" max="9219" width="44.28515625" style="638" customWidth="1"/>
    <col min="9220" max="9220" width="16" style="638" customWidth="1"/>
    <col min="9221" max="9225" width="9.85546875" style="638" customWidth="1"/>
    <col min="9226" max="9226" width="11.5703125" style="638" bestFit="1" customWidth="1"/>
    <col min="9227" max="9474" width="11.42578125" style="638"/>
    <col min="9475" max="9475" width="44.28515625" style="638" customWidth="1"/>
    <col min="9476" max="9476" width="16" style="638" customWidth="1"/>
    <col min="9477" max="9481" width="9.85546875" style="638" customWidth="1"/>
    <col min="9482" max="9482" width="11.5703125" style="638" bestFit="1" customWidth="1"/>
    <col min="9483" max="9730" width="11.42578125" style="638"/>
    <col min="9731" max="9731" width="44.28515625" style="638" customWidth="1"/>
    <col min="9732" max="9732" width="16" style="638" customWidth="1"/>
    <col min="9733" max="9737" width="9.85546875" style="638" customWidth="1"/>
    <col min="9738" max="9738" width="11.5703125" style="638" bestFit="1" customWidth="1"/>
    <col min="9739" max="9986" width="11.42578125" style="638"/>
    <col min="9987" max="9987" width="44.28515625" style="638" customWidth="1"/>
    <col min="9988" max="9988" width="16" style="638" customWidth="1"/>
    <col min="9989" max="9993" width="9.85546875" style="638" customWidth="1"/>
    <col min="9994" max="9994" width="11.5703125" style="638" bestFit="1" customWidth="1"/>
    <col min="9995" max="10242" width="11.42578125" style="638"/>
    <col min="10243" max="10243" width="44.28515625" style="638" customWidth="1"/>
    <col min="10244" max="10244" width="16" style="638" customWidth="1"/>
    <col min="10245" max="10249" width="9.85546875" style="638" customWidth="1"/>
    <col min="10250" max="10250" width="11.5703125" style="638" bestFit="1" customWidth="1"/>
    <col min="10251" max="10498" width="11.42578125" style="638"/>
    <col min="10499" max="10499" width="44.28515625" style="638" customWidth="1"/>
    <col min="10500" max="10500" width="16" style="638" customWidth="1"/>
    <col min="10501" max="10505" width="9.85546875" style="638" customWidth="1"/>
    <col min="10506" max="10506" width="11.5703125" style="638" bestFit="1" customWidth="1"/>
    <col min="10507" max="10754" width="11.42578125" style="638"/>
    <col min="10755" max="10755" width="44.28515625" style="638" customWidth="1"/>
    <col min="10756" max="10756" width="16" style="638" customWidth="1"/>
    <col min="10757" max="10761" width="9.85546875" style="638" customWidth="1"/>
    <col min="10762" max="10762" width="11.5703125" style="638" bestFit="1" customWidth="1"/>
    <col min="10763" max="11010" width="11.42578125" style="638"/>
    <col min="11011" max="11011" width="44.28515625" style="638" customWidth="1"/>
    <col min="11012" max="11012" width="16" style="638" customWidth="1"/>
    <col min="11013" max="11017" width="9.85546875" style="638" customWidth="1"/>
    <col min="11018" max="11018" width="11.5703125" style="638" bestFit="1" customWidth="1"/>
    <col min="11019" max="11266" width="11.42578125" style="638"/>
    <col min="11267" max="11267" width="44.28515625" style="638" customWidth="1"/>
    <col min="11268" max="11268" width="16" style="638" customWidth="1"/>
    <col min="11269" max="11273" width="9.85546875" style="638" customWidth="1"/>
    <col min="11274" max="11274" width="11.5703125" style="638" bestFit="1" customWidth="1"/>
    <col min="11275" max="11522" width="11.42578125" style="638"/>
    <col min="11523" max="11523" width="44.28515625" style="638" customWidth="1"/>
    <col min="11524" max="11524" width="16" style="638" customWidth="1"/>
    <col min="11525" max="11529" width="9.85546875" style="638" customWidth="1"/>
    <col min="11530" max="11530" width="11.5703125" style="638" bestFit="1" customWidth="1"/>
    <col min="11531" max="11778" width="11.42578125" style="638"/>
    <col min="11779" max="11779" width="44.28515625" style="638" customWidth="1"/>
    <col min="11780" max="11780" width="16" style="638" customWidth="1"/>
    <col min="11781" max="11785" width="9.85546875" style="638" customWidth="1"/>
    <col min="11786" max="11786" width="11.5703125" style="638" bestFit="1" customWidth="1"/>
    <col min="11787" max="12034" width="11.42578125" style="638"/>
    <col min="12035" max="12035" width="44.28515625" style="638" customWidth="1"/>
    <col min="12036" max="12036" width="16" style="638" customWidth="1"/>
    <col min="12037" max="12041" width="9.85546875" style="638" customWidth="1"/>
    <col min="12042" max="12042" width="11.5703125" style="638" bestFit="1" customWidth="1"/>
    <col min="12043" max="12290" width="11.42578125" style="638"/>
    <col min="12291" max="12291" width="44.28515625" style="638" customWidth="1"/>
    <col min="12292" max="12292" width="16" style="638" customWidth="1"/>
    <col min="12293" max="12297" width="9.85546875" style="638" customWidth="1"/>
    <col min="12298" max="12298" width="11.5703125" style="638" bestFit="1" customWidth="1"/>
    <col min="12299" max="12546" width="11.42578125" style="638"/>
    <col min="12547" max="12547" width="44.28515625" style="638" customWidth="1"/>
    <col min="12548" max="12548" width="16" style="638" customWidth="1"/>
    <col min="12549" max="12553" width="9.85546875" style="638" customWidth="1"/>
    <col min="12554" max="12554" width="11.5703125" style="638" bestFit="1" customWidth="1"/>
    <col min="12555" max="12802" width="11.42578125" style="638"/>
    <col min="12803" max="12803" width="44.28515625" style="638" customWidth="1"/>
    <col min="12804" max="12804" width="16" style="638" customWidth="1"/>
    <col min="12805" max="12809" width="9.85546875" style="638" customWidth="1"/>
    <col min="12810" max="12810" width="11.5703125" style="638" bestFit="1" customWidth="1"/>
    <col min="12811" max="13058" width="11.42578125" style="638"/>
    <col min="13059" max="13059" width="44.28515625" style="638" customWidth="1"/>
    <col min="13060" max="13060" width="16" style="638" customWidth="1"/>
    <col min="13061" max="13065" width="9.85546875" style="638" customWidth="1"/>
    <col min="13066" max="13066" width="11.5703125" style="638" bestFit="1" customWidth="1"/>
    <col min="13067" max="13314" width="11.42578125" style="638"/>
    <col min="13315" max="13315" width="44.28515625" style="638" customWidth="1"/>
    <col min="13316" max="13316" width="16" style="638" customWidth="1"/>
    <col min="13317" max="13321" width="9.85546875" style="638" customWidth="1"/>
    <col min="13322" max="13322" width="11.5703125" style="638" bestFit="1" customWidth="1"/>
    <col min="13323" max="13570" width="11.42578125" style="638"/>
    <col min="13571" max="13571" width="44.28515625" style="638" customWidth="1"/>
    <col min="13572" max="13572" width="16" style="638" customWidth="1"/>
    <col min="13573" max="13577" width="9.85546875" style="638" customWidth="1"/>
    <col min="13578" max="13578" width="11.5703125" style="638" bestFit="1" customWidth="1"/>
    <col min="13579" max="13826" width="11.42578125" style="638"/>
    <col min="13827" max="13827" width="44.28515625" style="638" customWidth="1"/>
    <col min="13828" max="13828" width="16" style="638" customWidth="1"/>
    <col min="13829" max="13833" width="9.85546875" style="638" customWidth="1"/>
    <col min="13834" max="13834" width="11.5703125" style="638" bestFit="1" customWidth="1"/>
    <col min="13835" max="14082" width="11.42578125" style="638"/>
    <col min="14083" max="14083" width="44.28515625" style="638" customWidth="1"/>
    <col min="14084" max="14084" width="16" style="638" customWidth="1"/>
    <col min="14085" max="14089" width="9.85546875" style="638" customWidth="1"/>
    <col min="14090" max="14090" width="11.5703125" style="638" bestFit="1" customWidth="1"/>
    <col min="14091" max="14338" width="11.42578125" style="638"/>
    <col min="14339" max="14339" width="44.28515625" style="638" customWidth="1"/>
    <col min="14340" max="14340" width="16" style="638" customWidth="1"/>
    <col min="14341" max="14345" width="9.85546875" style="638" customWidth="1"/>
    <col min="14346" max="14346" width="11.5703125" style="638" bestFit="1" customWidth="1"/>
    <col min="14347" max="14594" width="11.42578125" style="638"/>
    <col min="14595" max="14595" width="44.28515625" style="638" customWidth="1"/>
    <col min="14596" max="14596" width="16" style="638" customWidth="1"/>
    <col min="14597" max="14601" width="9.85546875" style="638" customWidth="1"/>
    <col min="14602" max="14602" width="11.5703125" style="638" bestFit="1" customWidth="1"/>
    <col min="14603" max="14850" width="11.42578125" style="638"/>
    <col min="14851" max="14851" width="44.28515625" style="638" customWidth="1"/>
    <col min="14852" max="14852" width="16" style="638" customWidth="1"/>
    <col min="14853" max="14857" width="9.85546875" style="638" customWidth="1"/>
    <col min="14858" max="14858" width="11.5703125" style="638" bestFit="1" customWidth="1"/>
    <col min="14859" max="15106" width="11.42578125" style="638"/>
    <col min="15107" max="15107" width="44.28515625" style="638" customWidth="1"/>
    <col min="15108" max="15108" width="16" style="638" customWidth="1"/>
    <col min="15109" max="15113" width="9.85546875" style="638" customWidth="1"/>
    <col min="15114" max="15114" width="11.5703125" style="638" bestFit="1" customWidth="1"/>
    <col min="15115" max="15362" width="11.42578125" style="638"/>
    <col min="15363" max="15363" width="44.28515625" style="638" customWidth="1"/>
    <col min="15364" max="15364" width="16" style="638" customWidth="1"/>
    <col min="15365" max="15369" width="9.85546875" style="638" customWidth="1"/>
    <col min="15370" max="15370" width="11.5703125" style="638" bestFit="1" customWidth="1"/>
    <col min="15371" max="15618" width="11.42578125" style="638"/>
    <col min="15619" max="15619" width="44.28515625" style="638" customWidth="1"/>
    <col min="15620" max="15620" width="16" style="638" customWidth="1"/>
    <col min="15621" max="15625" width="9.85546875" style="638" customWidth="1"/>
    <col min="15626" max="15626" width="11.5703125" style="638" bestFit="1" customWidth="1"/>
    <col min="15627" max="15874" width="11.42578125" style="638"/>
    <col min="15875" max="15875" width="44.28515625" style="638" customWidth="1"/>
    <col min="15876" max="15876" width="16" style="638" customWidth="1"/>
    <col min="15877" max="15881" width="9.85546875" style="638" customWidth="1"/>
    <col min="15882" max="15882" width="11.5703125" style="638" bestFit="1" customWidth="1"/>
    <col min="15883" max="16130" width="11.42578125" style="638"/>
    <col min="16131" max="16131" width="44.28515625" style="638" customWidth="1"/>
    <col min="16132" max="16132" width="16" style="638" customWidth="1"/>
    <col min="16133" max="16137" width="9.85546875" style="638" customWidth="1"/>
    <col min="16138" max="16138" width="11.5703125" style="638" bestFit="1" customWidth="1"/>
    <col min="16139" max="16384" width="11.42578125" style="638"/>
  </cols>
  <sheetData>
    <row r="1" spans="2:10" x14ac:dyDescent="0.25">
      <c r="B1" s="4" t="s">
        <v>91</v>
      </c>
      <c r="C1" s="4" t="s">
        <v>92</v>
      </c>
    </row>
    <row r="2" spans="2:10" x14ac:dyDescent="0.25">
      <c r="B2" s="16" t="s">
        <v>304</v>
      </c>
      <c r="C2" s="4">
        <v>25</v>
      </c>
    </row>
    <row r="3" spans="2:10" x14ac:dyDescent="0.25">
      <c r="B3" s="5" t="s">
        <v>212</v>
      </c>
      <c r="C3" s="6">
        <v>25</v>
      </c>
    </row>
    <row r="4" spans="2:10" x14ac:dyDescent="0.25">
      <c r="B4" s="5" t="s">
        <v>93</v>
      </c>
      <c r="C4" s="7">
        <v>6000</v>
      </c>
    </row>
    <row r="5" spans="2:10" x14ac:dyDescent="0.25">
      <c r="B5" s="5" t="s">
        <v>94</v>
      </c>
      <c r="C5" s="6">
        <f>+C4*C3/1000</f>
        <v>150</v>
      </c>
    </row>
    <row r="6" spans="2:10" x14ac:dyDescent="0.25">
      <c r="B6" s="638" t="s">
        <v>367</v>
      </c>
      <c r="D6" s="15"/>
    </row>
    <row r="7" spans="2:10" x14ac:dyDescent="0.25">
      <c r="D7" s="14"/>
    </row>
    <row r="8" spans="2:10" x14ac:dyDescent="0.25">
      <c r="B8" s="685" t="s">
        <v>315</v>
      </c>
      <c r="C8" s="685"/>
      <c r="D8" s="685"/>
      <c r="E8" s="685"/>
      <c r="F8" s="685"/>
      <c r="G8" s="685"/>
      <c r="H8" s="685"/>
    </row>
    <row r="9" spans="2:10" x14ac:dyDescent="0.25">
      <c r="B9" s="687" t="s">
        <v>91</v>
      </c>
      <c r="C9" s="687"/>
      <c r="D9" s="686" t="s">
        <v>303</v>
      </c>
      <c r="E9" s="631" t="s">
        <v>10</v>
      </c>
      <c r="F9" s="632"/>
      <c r="G9" s="632"/>
      <c r="H9" s="632"/>
      <c r="I9" s="633"/>
    </row>
    <row r="10" spans="2:10" x14ac:dyDescent="0.25">
      <c r="B10" s="687"/>
      <c r="C10" s="687"/>
      <c r="D10" s="686"/>
      <c r="E10" s="634">
        <v>1</v>
      </c>
      <c r="F10" s="634">
        <v>2</v>
      </c>
      <c r="G10" s="634">
        <v>3</v>
      </c>
      <c r="H10" s="634">
        <v>4</v>
      </c>
      <c r="I10" s="634">
        <v>5</v>
      </c>
    </row>
    <row r="11" spans="2:10" x14ac:dyDescent="0.25">
      <c r="B11" s="688" t="s">
        <v>314</v>
      </c>
      <c r="C11" s="688"/>
      <c r="D11" s="7">
        <f>+C4</f>
        <v>6000</v>
      </c>
      <c r="E11" s="635">
        <f>+D11*1.12</f>
        <v>6720.0000000000009</v>
      </c>
      <c r="F11" s="635">
        <f t="shared" ref="F11:I11" si="0">+E11*1.12</f>
        <v>7526.4000000000015</v>
      </c>
      <c r="G11" s="635">
        <f t="shared" si="0"/>
        <v>8429.5680000000029</v>
      </c>
      <c r="H11" s="635">
        <f t="shared" si="0"/>
        <v>9441.116160000005</v>
      </c>
      <c r="I11" s="635">
        <f t="shared" si="0"/>
        <v>10574.050099200007</v>
      </c>
    </row>
    <row r="12" spans="2:10" x14ac:dyDescent="0.25">
      <c r="B12" s="689" t="s">
        <v>211</v>
      </c>
      <c r="C12" s="689"/>
      <c r="D12" s="636">
        <f>C3*D11/1000</f>
        <v>150</v>
      </c>
      <c r="E12" s="636">
        <f>$C$3*E11/1000</f>
        <v>168.00000000000003</v>
      </c>
      <c r="F12" s="636">
        <f t="shared" ref="F12:I12" si="1">$C$3*F11/1000</f>
        <v>188.16000000000003</v>
      </c>
      <c r="G12" s="636">
        <f t="shared" si="1"/>
        <v>210.73920000000007</v>
      </c>
      <c r="H12" s="636">
        <f t="shared" si="1"/>
        <v>236.02790400000012</v>
      </c>
      <c r="I12" s="636">
        <f t="shared" si="1"/>
        <v>264.3512524800002</v>
      </c>
    </row>
    <row r="13" spans="2:10" x14ac:dyDescent="0.25">
      <c r="B13" s="637"/>
      <c r="C13" s="15"/>
      <c r="D13" s="15"/>
      <c r="E13" s="15"/>
      <c r="F13" s="15"/>
      <c r="G13" s="15"/>
      <c r="H13" s="15"/>
      <c r="I13" s="15"/>
      <c r="J13" s="639"/>
    </row>
    <row r="14" spans="2:10" ht="14.25" customHeight="1" x14ac:dyDescent="0.25"/>
    <row r="15" spans="2:10" ht="14.25" customHeight="1" x14ac:dyDescent="0.25">
      <c r="B15" s="650" t="s">
        <v>125</v>
      </c>
    </row>
    <row r="16" spans="2:10" s="641" customFormat="1" ht="25.5" x14ac:dyDescent="0.25">
      <c r="B16" s="640" t="s">
        <v>194</v>
      </c>
      <c r="C16" s="640" t="s">
        <v>271</v>
      </c>
      <c r="D16" s="640" t="s">
        <v>193</v>
      </c>
      <c r="E16" s="634">
        <v>1</v>
      </c>
      <c r="F16" s="634">
        <v>2</v>
      </c>
      <c r="G16" s="634">
        <v>3</v>
      </c>
      <c r="H16" s="634">
        <v>4</v>
      </c>
      <c r="I16" s="634">
        <v>5</v>
      </c>
    </row>
    <row r="17" spans="2:9" x14ac:dyDescent="0.25">
      <c r="B17" s="642" t="s">
        <v>95</v>
      </c>
      <c r="C17" s="643">
        <v>0.35</v>
      </c>
      <c r="D17" s="644">
        <v>5000</v>
      </c>
      <c r="E17" s="645">
        <f>E12*$C$17*$D$17</f>
        <v>294000</v>
      </c>
      <c r="F17" s="645">
        <f>F12*$C$17*$D$17</f>
        <v>329280.00000000006</v>
      </c>
      <c r="G17" s="645">
        <f>G12*$C$17*$D$17</f>
        <v>368793.60000000015</v>
      </c>
      <c r="H17" s="645">
        <f>H12*$C$17*$D$17</f>
        <v>413048.83200000023</v>
      </c>
      <c r="I17" s="645">
        <f>I12*$C$17*$D$17</f>
        <v>462614.69184000033</v>
      </c>
    </row>
    <row r="18" spans="2:9" x14ac:dyDescent="0.25">
      <c r="B18" s="642" t="s">
        <v>306</v>
      </c>
      <c r="C18" s="643">
        <v>0.53</v>
      </c>
      <c r="D18" s="644">
        <v>4000</v>
      </c>
      <c r="E18" s="645">
        <f>E12*$C$18*$D$18</f>
        <v>356160.00000000006</v>
      </c>
      <c r="F18" s="645">
        <f t="shared" ref="F18:I18" si="2">F12*$C$18*$D$18</f>
        <v>398899.20000000007</v>
      </c>
      <c r="G18" s="645">
        <f t="shared" si="2"/>
        <v>446767.10400000017</v>
      </c>
      <c r="H18" s="645">
        <f t="shared" si="2"/>
        <v>500379.1564800003</v>
      </c>
      <c r="I18" s="645">
        <f t="shared" si="2"/>
        <v>560424.65525760048</v>
      </c>
    </row>
    <row r="19" spans="2:9" x14ac:dyDescent="0.25">
      <c r="B19" s="642" t="s">
        <v>96</v>
      </c>
      <c r="C19" s="643">
        <v>0.1</v>
      </c>
      <c r="D19" s="644">
        <v>2000</v>
      </c>
      <c r="E19" s="645">
        <f>E12*$C$19*$D$19</f>
        <v>33600.000000000007</v>
      </c>
      <c r="F19" s="645">
        <f t="shared" ref="F19:I19" si="3">F12*$C$19*$D$19</f>
        <v>37632.000000000007</v>
      </c>
      <c r="G19" s="645">
        <f t="shared" si="3"/>
        <v>42147.840000000018</v>
      </c>
      <c r="H19" s="645">
        <f t="shared" si="3"/>
        <v>47205.580800000025</v>
      </c>
      <c r="I19" s="645">
        <f t="shared" si="3"/>
        <v>52870.250496000037</v>
      </c>
    </row>
    <row r="20" spans="2:9" x14ac:dyDescent="0.25">
      <c r="B20" s="642" t="s">
        <v>97</v>
      </c>
      <c r="C20" s="643">
        <v>0.02</v>
      </c>
      <c r="D20" s="644" t="s">
        <v>283</v>
      </c>
      <c r="E20" s="644" t="s">
        <v>283</v>
      </c>
      <c r="F20" s="644" t="s">
        <v>283</v>
      </c>
      <c r="G20" s="644" t="s">
        <v>283</v>
      </c>
      <c r="H20" s="644" t="s">
        <v>283</v>
      </c>
      <c r="I20" s="644" t="s">
        <v>283</v>
      </c>
    </row>
    <row r="21" spans="2:9" x14ac:dyDescent="0.25">
      <c r="B21" s="634" t="s">
        <v>123</v>
      </c>
      <c r="C21" s="646">
        <f>SUM(C17:C20)</f>
        <v>1</v>
      </c>
      <c r="D21" s="647">
        <f>SUM(D17:D20)</f>
        <v>11000</v>
      </c>
      <c r="E21" s="648">
        <f>SUM(E17:E20)</f>
        <v>683760</v>
      </c>
      <c r="F21" s="648">
        <f t="shared" ref="F21:I21" si="4">SUM(F17:F20)</f>
        <v>765811.20000000019</v>
      </c>
      <c r="G21" s="648">
        <f>SUM(G17:G20)</f>
        <v>857708.54400000034</v>
      </c>
      <c r="H21" s="648">
        <f>+H17+H18+H19</f>
        <v>960633.56928000052</v>
      </c>
      <c r="I21" s="648">
        <f t="shared" si="4"/>
        <v>1075909.5975936009</v>
      </c>
    </row>
    <row r="23" spans="2:9" x14ac:dyDescent="0.25">
      <c r="C23" s="683" t="s">
        <v>210</v>
      </c>
      <c r="D23" s="684"/>
      <c r="E23" s="649">
        <f>+E21/E12</f>
        <v>4069.9999999999991</v>
      </c>
      <c r="F23" s="649">
        <f t="shared" ref="F23:I23" si="5">+F21/F12</f>
        <v>4070.0000000000005</v>
      </c>
      <c r="G23" s="649">
        <f t="shared" si="5"/>
        <v>4070.0000000000005</v>
      </c>
      <c r="H23" s="649">
        <f t="shared" si="5"/>
        <v>4070</v>
      </c>
      <c r="I23" s="649">
        <f t="shared" si="5"/>
        <v>4070</v>
      </c>
    </row>
  </sheetData>
  <mergeCells count="6">
    <mergeCell ref="C23:D23"/>
    <mergeCell ref="B8:H8"/>
    <mergeCell ref="D9:D10"/>
    <mergeCell ref="B9:C10"/>
    <mergeCell ref="B11:C11"/>
    <mergeCell ref="B12:C12"/>
  </mergeCells>
  <pageMargins left="0.7" right="0.7" top="0.75" bottom="0.75" header="0.3" footer="0.3"/>
  <pageSetup paperSize="9" scale="98" orientation="landscape" horizontalDpi="4294967294" verticalDpi="360" r:id="rId1"/>
  <ignoredErrors>
    <ignoredError sqref="H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view="pageBreakPreview" topLeftCell="A75" zoomScale="110" zoomScaleNormal="100" zoomScaleSheetLayoutView="110" workbookViewId="0">
      <selection activeCell="B86" sqref="B86"/>
    </sheetView>
  </sheetViews>
  <sheetFormatPr baseColWidth="10" defaultRowHeight="12" x14ac:dyDescent="0.25"/>
  <cols>
    <col min="1" max="1" width="6.140625" style="337" customWidth="1"/>
    <col min="2" max="2" width="32.85546875" style="337" customWidth="1"/>
    <col min="3" max="3" width="13.85546875" style="337" customWidth="1"/>
    <col min="4" max="4" width="18" style="417" bestFit="1" customWidth="1"/>
    <col min="5" max="5" width="13.85546875" style="431" customWidth="1"/>
    <col min="6" max="6" width="30.7109375" style="416" bestFit="1" customWidth="1"/>
    <col min="7" max="7" width="16.140625" style="417" bestFit="1" customWidth="1"/>
    <col min="8" max="8" width="14.7109375" style="417" bestFit="1" customWidth="1"/>
    <col min="9" max="9" width="16.42578125" style="337" bestFit="1" customWidth="1"/>
    <col min="10" max="11" width="12.5703125" style="337" bestFit="1" customWidth="1"/>
    <col min="12" max="13" width="11.42578125" style="337" customWidth="1"/>
    <col min="14" max="14" width="12.140625" style="337" bestFit="1" customWidth="1"/>
    <col min="15" max="17" width="11.42578125" style="337" customWidth="1"/>
    <col min="18" max="16384" width="11.42578125" style="337"/>
  </cols>
  <sheetData>
    <row r="1" spans="1:16" x14ac:dyDescent="0.25">
      <c r="A1" s="333"/>
      <c r="B1" s="333"/>
      <c r="C1" s="333"/>
      <c r="D1" s="334"/>
      <c r="E1" s="335"/>
      <c r="F1" s="336"/>
      <c r="G1" s="334"/>
      <c r="H1" s="334"/>
      <c r="I1" s="304"/>
      <c r="J1" s="304"/>
      <c r="K1" s="304"/>
      <c r="L1" s="304"/>
      <c r="M1" s="304"/>
    </row>
    <row r="2" spans="1:16" x14ac:dyDescent="0.25">
      <c r="A2" s="333"/>
      <c r="B2" s="150"/>
      <c r="C2" s="333"/>
      <c r="D2" s="334"/>
      <c r="E2" s="335"/>
      <c r="F2" s="336"/>
      <c r="G2" s="334"/>
      <c r="H2" s="334"/>
      <c r="I2" s="304"/>
      <c r="J2" s="304"/>
      <c r="K2" s="711"/>
      <c r="L2" s="711"/>
      <c r="M2" s="304"/>
    </row>
    <row r="3" spans="1:16" x14ac:dyDescent="0.25">
      <c r="A3" s="333"/>
      <c r="B3" s="338"/>
      <c r="C3" s="333"/>
      <c r="D3" s="334"/>
      <c r="E3" s="335"/>
      <c r="F3" s="336"/>
      <c r="G3" s="334"/>
      <c r="H3" s="334"/>
      <c r="I3" s="304"/>
      <c r="J3" s="339"/>
      <c r="K3" s="340"/>
      <c r="L3" s="341"/>
      <c r="M3" s="304"/>
    </row>
    <row r="4" spans="1:16" ht="18" customHeight="1" x14ac:dyDescent="0.25">
      <c r="A4" s="342"/>
      <c r="B4" s="714" t="s">
        <v>65</v>
      </c>
      <c r="C4" s="714"/>
      <c r="D4" s="714"/>
      <c r="E4" s="714"/>
      <c r="F4" s="714"/>
      <c r="G4" s="714"/>
      <c r="H4" s="714"/>
      <c r="I4" s="304"/>
      <c r="J4" s="339"/>
      <c r="K4" s="340"/>
      <c r="L4" s="341"/>
      <c r="M4" s="341"/>
    </row>
    <row r="5" spans="1:16" x14ac:dyDescent="0.25">
      <c r="A5" s="342"/>
      <c r="B5" s="343" t="s">
        <v>29</v>
      </c>
      <c r="C5" s="1" t="s">
        <v>30</v>
      </c>
      <c r="D5" s="344"/>
      <c r="E5" s="345"/>
      <c r="F5" s="346"/>
      <c r="G5" s="344"/>
      <c r="H5" s="344"/>
      <c r="I5" s="304"/>
      <c r="J5" s="339"/>
      <c r="K5" s="340"/>
      <c r="L5" s="341"/>
      <c r="M5" s="341"/>
    </row>
    <row r="6" spans="1:16" x14ac:dyDescent="0.25">
      <c r="B6" s="347" t="s">
        <v>50</v>
      </c>
      <c r="C6" s="347" t="s">
        <v>51</v>
      </c>
      <c r="D6" s="344"/>
      <c r="E6" s="345"/>
      <c r="F6" s="346"/>
      <c r="G6" s="344"/>
      <c r="H6" s="348"/>
      <c r="I6" s="304"/>
      <c r="J6" s="339"/>
      <c r="K6" s="340"/>
      <c r="L6" s="341"/>
      <c r="M6" s="341"/>
    </row>
    <row r="7" spans="1:16" ht="15" customHeight="1" x14ac:dyDescent="0.25">
      <c r="B7" s="720" t="s">
        <v>31</v>
      </c>
      <c r="C7" s="349" t="s">
        <v>32</v>
      </c>
      <c r="D7" s="350" t="s">
        <v>78</v>
      </c>
      <c r="E7" s="351"/>
      <c r="F7" s="352"/>
      <c r="G7" s="344"/>
      <c r="H7" s="344"/>
      <c r="I7" s="304"/>
      <c r="J7" s="339"/>
      <c r="K7" s="340"/>
      <c r="L7" s="341"/>
      <c r="M7" s="341"/>
    </row>
    <row r="8" spans="1:16" x14ac:dyDescent="0.25">
      <c r="B8" s="720"/>
      <c r="C8" s="349">
        <v>445</v>
      </c>
      <c r="D8" s="350">
        <v>6000</v>
      </c>
      <c r="E8" s="351"/>
      <c r="F8" s="352"/>
      <c r="G8" s="344"/>
      <c r="H8" s="344"/>
      <c r="I8" s="304"/>
      <c r="J8" s="339"/>
      <c r="K8" s="340"/>
      <c r="L8" s="304"/>
      <c r="M8" s="341"/>
    </row>
    <row r="9" spans="1:16" x14ac:dyDescent="0.25">
      <c r="B9" s="1" t="s">
        <v>33</v>
      </c>
      <c r="C9" s="353" t="s">
        <v>34</v>
      </c>
      <c r="D9" s="354"/>
      <c r="E9" s="332"/>
      <c r="F9" s="355"/>
      <c r="G9" s="356"/>
      <c r="H9" s="344"/>
      <c r="I9" s="304"/>
      <c r="J9" s="339"/>
      <c r="K9" s="340"/>
      <c r="L9" s="304"/>
      <c r="M9" s="341"/>
    </row>
    <row r="10" spans="1:16" x14ac:dyDescent="0.25">
      <c r="A10" s="333"/>
      <c r="B10" s="1"/>
      <c r="C10" s="353"/>
      <c r="D10" s="356"/>
      <c r="E10" s="345"/>
      <c r="F10" s="355"/>
      <c r="G10" s="356"/>
      <c r="H10" s="344"/>
      <c r="I10" s="304"/>
      <c r="J10" s="339"/>
      <c r="K10" s="340"/>
      <c r="L10" s="304"/>
      <c r="M10" s="341"/>
    </row>
    <row r="11" spans="1:16" ht="16.5" customHeight="1" x14ac:dyDescent="0.25">
      <c r="B11" s="712" t="s">
        <v>35</v>
      </c>
      <c r="C11" s="712"/>
      <c r="D11" s="712"/>
      <c r="E11" s="712" t="s">
        <v>52</v>
      </c>
      <c r="F11" s="713" t="s">
        <v>36</v>
      </c>
      <c r="G11" s="715" t="s">
        <v>140</v>
      </c>
      <c r="H11" s="716" t="s">
        <v>37</v>
      </c>
      <c r="I11" s="304"/>
      <c r="J11" s="339"/>
      <c r="K11" s="340"/>
      <c r="L11" s="304"/>
      <c r="M11" s="341"/>
    </row>
    <row r="12" spans="1:16" ht="27" customHeight="1" x14ac:dyDescent="0.25">
      <c r="B12" s="712"/>
      <c r="C12" s="712"/>
      <c r="D12" s="712"/>
      <c r="E12" s="712"/>
      <c r="F12" s="713"/>
      <c r="G12" s="715"/>
      <c r="H12" s="716"/>
      <c r="I12" s="304"/>
      <c r="J12" s="339"/>
      <c r="K12" s="340"/>
      <c r="L12" s="304"/>
      <c r="M12" s="341"/>
    </row>
    <row r="13" spans="1:16" x14ac:dyDescent="0.25">
      <c r="B13" s="718" t="s">
        <v>38</v>
      </c>
      <c r="C13" s="718"/>
      <c r="D13" s="718"/>
      <c r="E13" s="111"/>
      <c r="F13" s="357"/>
      <c r="G13" s="358"/>
      <c r="H13" s="359">
        <f>+SUM(H14+H24+H42)</f>
        <v>14117.5</v>
      </c>
      <c r="I13" s="304"/>
      <c r="J13" s="339"/>
      <c r="K13" s="340"/>
      <c r="L13" s="304"/>
      <c r="M13" s="304"/>
      <c r="P13" s="366"/>
    </row>
    <row r="14" spans="1:16" x14ac:dyDescent="0.25">
      <c r="B14" s="721" t="s">
        <v>75</v>
      </c>
      <c r="C14" s="721"/>
      <c r="D14" s="721"/>
      <c r="E14" s="360"/>
      <c r="F14" s="361"/>
      <c r="G14" s="362"/>
      <c r="H14" s="362">
        <f>+SUM(H15+H17+H19+H23)</f>
        <v>6417.5</v>
      </c>
      <c r="I14" s="304"/>
      <c r="J14" s="339"/>
      <c r="K14" s="340"/>
      <c r="L14" s="304"/>
      <c r="M14" s="304"/>
      <c r="P14" s="366"/>
    </row>
    <row r="15" spans="1:16" x14ac:dyDescent="0.25">
      <c r="B15" s="717" t="s">
        <v>68</v>
      </c>
      <c r="C15" s="717"/>
      <c r="D15" s="717"/>
      <c r="E15" s="363"/>
      <c r="F15" s="364">
        <f>+SUM(F16)</f>
        <v>10</v>
      </c>
      <c r="G15" s="365">
        <f>+SUM(G16)</f>
        <v>20</v>
      </c>
      <c r="H15" s="365">
        <f>+SUM(H16)</f>
        <v>200</v>
      </c>
      <c r="I15" s="304"/>
      <c r="J15" s="304"/>
      <c r="K15" s="304"/>
      <c r="L15" s="304"/>
      <c r="M15" s="304"/>
      <c r="P15" s="366"/>
    </row>
    <row r="16" spans="1:16" x14ac:dyDescent="0.25">
      <c r="B16" s="719" t="s">
        <v>63</v>
      </c>
      <c r="C16" s="719"/>
      <c r="D16" s="719"/>
      <c r="E16" s="345" t="s">
        <v>59</v>
      </c>
      <c r="F16" s="367">
        <v>10</v>
      </c>
      <c r="G16" s="344">
        <v>20</v>
      </c>
      <c r="H16" s="344">
        <f t="shared" ref="H16" si="0">+F16*G16</f>
        <v>200</v>
      </c>
      <c r="I16" s="304"/>
      <c r="J16" s="304"/>
      <c r="K16" s="304"/>
      <c r="L16" s="304"/>
      <c r="M16" s="304"/>
      <c r="P16" s="366"/>
    </row>
    <row r="17" spans="2:17" x14ac:dyDescent="0.25">
      <c r="B17" s="717" t="s">
        <v>82</v>
      </c>
      <c r="C17" s="717"/>
      <c r="D17" s="717"/>
      <c r="E17" s="363"/>
      <c r="F17" s="364">
        <f>+F18</f>
        <v>2</v>
      </c>
      <c r="G17" s="365">
        <f>+G18</f>
        <v>50</v>
      </c>
      <c r="H17" s="365">
        <f>+H18</f>
        <v>100</v>
      </c>
      <c r="I17" s="304"/>
      <c r="J17" s="304"/>
      <c r="K17" s="304"/>
      <c r="L17" s="304"/>
      <c r="M17" s="304"/>
      <c r="N17" s="128"/>
      <c r="P17" s="366"/>
    </row>
    <row r="18" spans="2:17" x14ac:dyDescent="0.25">
      <c r="B18" s="719" t="s">
        <v>66</v>
      </c>
      <c r="C18" s="719"/>
      <c r="D18" s="719"/>
      <c r="E18" s="345" t="s">
        <v>64</v>
      </c>
      <c r="F18" s="367">
        <v>2</v>
      </c>
      <c r="G18" s="344">
        <v>50</v>
      </c>
      <c r="H18" s="344">
        <f t="shared" ref="H18" si="1">+F18*G18</f>
        <v>100</v>
      </c>
      <c r="J18" s="128"/>
      <c r="K18" s="128"/>
      <c r="L18" s="128"/>
      <c r="M18" s="128"/>
      <c r="N18" s="128"/>
      <c r="P18" s="366"/>
    </row>
    <row r="19" spans="2:17" x14ac:dyDescent="0.25">
      <c r="B19" s="717" t="s">
        <v>39</v>
      </c>
      <c r="C19" s="717"/>
      <c r="D19" s="717"/>
      <c r="E19" s="368" t="s">
        <v>80</v>
      </c>
      <c r="F19" s="369">
        <f>+SUM(F20:F22)</f>
        <v>4005</v>
      </c>
      <c r="G19" s="370">
        <f>+SUM(G20:G22)</f>
        <v>4.7</v>
      </c>
      <c r="H19" s="365">
        <f>+SUM(H20:H22)</f>
        <v>5117.5</v>
      </c>
      <c r="J19" s="128"/>
      <c r="K19" s="128"/>
      <c r="L19" s="128"/>
      <c r="M19" s="128"/>
      <c r="N19" s="128"/>
      <c r="P19" s="366"/>
    </row>
    <row r="20" spans="2:17" x14ac:dyDescent="0.25">
      <c r="B20" s="719" t="s">
        <v>69</v>
      </c>
      <c r="C20" s="719"/>
      <c r="D20" s="719"/>
      <c r="E20" s="345" t="s">
        <v>80</v>
      </c>
      <c r="F20" s="367">
        <f>445*2</f>
        <v>890</v>
      </c>
      <c r="G20" s="344">
        <v>3</v>
      </c>
      <c r="H20" s="344">
        <f>+F20*G20</f>
        <v>2670</v>
      </c>
      <c r="J20" s="371"/>
      <c r="K20" s="371"/>
      <c r="L20" s="371"/>
      <c r="M20" s="372"/>
      <c r="N20" s="372"/>
      <c r="P20" s="366"/>
    </row>
    <row r="21" spans="2:17" x14ac:dyDescent="0.25">
      <c r="B21" s="694" t="s">
        <v>70</v>
      </c>
      <c r="C21" s="695"/>
      <c r="D21" s="696"/>
      <c r="E21" s="345" t="s">
        <v>80</v>
      </c>
      <c r="F21" s="367">
        <f>+C8*2</f>
        <v>890</v>
      </c>
      <c r="G21" s="344">
        <v>1</v>
      </c>
      <c r="H21" s="344">
        <f>+F21*G21</f>
        <v>890</v>
      </c>
      <c r="J21" s="373"/>
      <c r="K21" s="373"/>
      <c r="L21" s="371"/>
      <c r="M21" s="373"/>
      <c r="N21" s="374"/>
      <c r="P21" s="366"/>
    </row>
    <row r="22" spans="2:17" ht="15" customHeight="1" x14ac:dyDescent="0.25">
      <c r="B22" s="694" t="s">
        <v>40</v>
      </c>
      <c r="C22" s="695"/>
      <c r="D22" s="696"/>
      <c r="E22" s="345" t="s">
        <v>80</v>
      </c>
      <c r="F22" s="367">
        <f>445*5</f>
        <v>2225</v>
      </c>
      <c r="G22" s="344">
        <v>0.7</v>
      </c>
      <c r="H22" s="344">
        <f>+F22*G22</f>
        <v>1557.5</v>
      </c>
      <c r="J22" s="722"/>
      <c r="K22" s="722"/>
      <c r="L22" s="722"/>
      <c r="M22" s="722"/>
      <c r="N22" s="722"/>
      <c r="P22" s="366"/>
      <c r="Q22" s="366"/>
    </row>
    <row r="23" spans="2:17" x14ac:dyDescent="0.25">
      <c r="B23" s="725" t="s">
        <v>79</v>
      </c>
      <c r="C23" s="726"/>
      <c r="D23" s="727"/>
      <c r="E23" s="368" t="s">
        <v>81</v>
      </c>
      <c r="F23" s="369">
        <v>1</v>
      </c>
      <c r="G23" s="370">
        <v>1000</v>
      </c>
      <c r="H23" s="365">
        <f>+F23*G23</f>
        <v>1000</v>
      </c>
      <c r="J23" s="373"/>
      <c r="K23" s="371"/>
      <c r="L23" s="371"/>
      <c r="M23" s="373"/>
      <c r="N23" s="374"/>
      <c r="P23" s="366"/>
    </row>
    <row r="24" spans="2:17" x14ac:dyDescent="0.25">
      <c r="B24" s="697" t="s">
        <v>55</v>
      </c>
      <c r="C24" s="698"/>
      <c r="D24" s="699"/>
      <c r="E24" s="375"/>
      <c r="F24" s="376"/>
      <c r="G24" s="377"/>
      <c r="H24" s="377">
        <f>+SUM(H25+H28+H31)</f>
        <v>7700</v>
      </c>
      <c r="J24" s="378"/>
      <c r="K24" s="379"/>
      <c r="L24" s="379"/>
      <c r="M24" s="380"/>
      <c r="N24" s="380"/>
      <c r="P24" s="366"/>
    </row>
    <row r="25" spans="2:17" x14ac:dyDescent="0.25">
      <c r="B25" s="725" t="s">
        <v>195</v>
      </c>
      <c r="C25" s="726"/>
      <c r="D25" s="727"/>
      <c r="E25" s="368" t="s">
        <v>67</v>
      </c>
      <c r="F25" s="369">
        <f>+SUM(F26:F27)</f>
        <v>60</v>
      </c>
      <c r="G25" s="370">
        <f>+SUM(G26:G27)</f>
        <v>100</v>
      </c>
      <c r="H25" s="365">
        <f>+SUM(H26:H27)</f>
        <v>3000</v>
      </c>
    </row>
    <row r="26" spans="2:17" x14ac:dyDescent="0.25">
      <c r="B26" s="694" t="s">
        <v>46</v>
      </c>
      <c r="C26" s="695"/>
      <c r="D26" s="696"/>
      <c r="E26" s="345" t="s">
        <v>67</v>
      </c>
      <c r="F26" s="367">
        <v>30</v>
      </c>
      <c r="G26" s="344">
        <v>50</v>
      </c>
      <c r="H26" s="344">
        <f>+F26*G26</f>
        <v>1500</v>
      </c>
    </row>
    <row r="27" spans="2:17" x14ac:dyDescent="0.25">
      <c r="B27" s="694" t="s">
        <v>47</v>
      </c>
      <c r="C27" s="695"/>
      <c r="D27" s="696"/>
      <c r="E27" s="345" t="s">
        <v>67</v>
      </c>
      <c r="F27" s="367">
        <v>30</v>
      </c>
      <c r="G27" s="344">
        <v>50</v>
      </c>
      <c r="H27" s="344">
        <f>+F27*G27</f>
        <v>1500</v>
      </c>
      <c r="J27" s="722"/>
      <c r="K27" s="722"/>
      <c r="L27" s="722"/>
      <c r="M27" s="722"/>
      <c r="N27" s="722"/>
    </row>
    <row r="28" spans="2:17" x14ac:dyDescent="0.25">
      <c r="B28" s="725" t="s">
        <v>196</v>
      </c>
      <c r="C28" s="726"/>
      <c r="D28" s="727"/>
      <c r="E28" s="363" t="s">
        <v>67</v>
      </c>
      <c r="F28" s="364"/>
      <c r="G28" s="365"/>
      <c r="H28" s="381">
        <f>+SUM(H29:H30)</f>
        <v>2500</v>
      </c>
      <c r="J28" s="371"/>
      <c r="K28" s="371"/>
      <c r="L28" s="371"/>
      <c r="M28" s="372"/>
      <c r="N28" s="372"/>
    </row>
    <row r="29" spans="2:17" x14ac:dyDescent="0.25">
      <c r="B29" s="382" t="s">
        <v>84</v>
      </c>
      <c r="C29" s="383"/>
      <c r="D29" s="384"/>
      <c r="E29" s="345" t="s">
        <v>67</v>
      </c>
      <c r="F29" s="367">
        <v>20</v>
      </c>
      <c r="G29" s="344">
        <v>50</v>
      </c>
      <c r="H29" s="344">
        <f>+F29*G29</f>
        <v>1000</v>
      </c>
      <c r="J29" s="373"/>
      <c r="K29" s="373"/>
      <c r="L29" s="371"/>
      <c r="M29" s="385"/>
      <c r="N29" s="374"/>
    </row>
    <row r="30" spans="2:17" x14ac:dyDescent="0.25">
      <c r="B30" s="382" t="s">
        <v>85</v>
      </c>
      <c r="C30" s="383"/>
      <c r="D30" s="384"/>
      <c r="E30" s="345" t="s">
        <v>67</v>
      </c>
      <c r="F30" s="367">
        <v>30</v>
      </c>
      <c r="G30" s="344">
        <v>50</v>
      </c>
      <c r="H30" s="344">
        <f>+F30*G30</f>
        <v>1500</v>
      </c>
      <c r="J30" s="378"/>
      <c r="K30" s="379"/>
      <c r="L30" s="440"/>
      <c r="M30" s="380"/>
      <c r="N30" s="380"/>
    </row>
    <row r="31" spans="2:17" x14ac:dyDescent="0.25">
      <c r="B31" s="725" t="s">
        <v>197</v>
      </c>
      <c r="C31" s="726"/>
      <c r="D31" s="727"/>
      <c r="E31" s="368" t="s">
        <v>67</v>
      </c>
      <c r="F31" s="369"/>
      <c r="G31" s="370"/>
      <c r="H31" s="365">
        <f>+SUM(H32:H41)</f>
        <v>2200</v>
      </c>
      <c r="I31" s="386"/>
      <c r="J31" s="373"/>
      <c r="K31" s="371"/>
      <c r="L31" s="371"/>
      <c r="M31" s="387"/>
      <c r="N31" s="374"/>
    </row>
    <row r="32" spans="2:17" x14ac:dyDescent="0.25">
      <c r="B32" s="694" t="s">
        <v>48</v>
      </c>
      <c r="C32" s="695"/>
      <c r="D32" s="696"/>
      <c r="E32" s="345" t="s">
        <v>67</v>
      </c>
      <c r="F32" s="367">
        <v>20</v>
      </c>
      <c r="G32" s="344">
        <v>50</v>
      </c>
      <c r="H32" s="344">
        <f>+F32*G32</f>
        <v>1000</v>
      </c>
      <c r="J32" s="378"/>
      <c r="K32" s="379"/>
      <c r="L32" s="379"/>
      <c r="M32" s="388"/>
      <c r="N32" s="380"/>
    </row>
    <row r="33" spans="2:15" x14ac:dyDescent="0.25">
      <c r="B33" s="694" t="s">
        <v>71</v>
      </c>
      <c r="C33" s="695"/>
      <c r="D33" s="696"/>
      <c r="E33" s="345" t="s">
        <v>67</v>
      </c>
      <c r="F33" s="367">
        <v>4</v>
      </c>
      <c r="G33" s="344">
        <v>50</v>
      </c>
      <c r="H33" s="344">
        <f t="shared" ref="H33:H40" si="2">+F33*G33</f>
        <v>200</v>
      </c>
      <c r="J33" s="723"/>
      <c r="K33" s="723"/>
      <c r="L33" s="723"/>
      <c r="M33" s="723"/>
      <c r="N33" s="389"/>
    </row>
    <row r="34" spans="2:15" ht="12.75" hidden="1" customHeight="1" x14ac:dyDescent="0.25">
      <c r="B34" s="347" t="s">
        <v>41</v>
      </c>
      <c r="C34" s="347"/>
      <c r="D34" s="344"/>
      <c r="E34" s="345"/>
      <c r="F34" s="367"/>
      <c r="G34" s="344">
        <v>50</v>
      </c>
      <c r="H34" s="344">
        <f t="shared" si="2"/>
        <v>0</v>
      </c>
      <c r="J34" s="304"/>
      <c r="K34" s="304"/>
      <c r="L34" s="304"/>
      <c r="M34" s="304"/>
      <c r="N34" s="304"/>
    </row>
    <row r="35" spans="2:15" ht="12.75" hidden="1" customHeight="1" x14ac:dyDescent="0.25">
      <c r="B35" s="347" t="s">
        <v>44</v>
      </c>
      <c r="C35" s="347"/>
      <c r="D35" s="344"/>
      <c r="E35" s="345"/>
      <c r="F35" s="367"/>
      <c r="G35" s="344">
        <v>50</v>
      </c>
      <c r="H35" s="344">
        <f t="shared" si="2"/>
        <v>0</v>
      </c>
      <c r="J35" s="304"/>
      <c r="K35" s="304"/>
      <c r="L35" s="304"/>
      <c r="M35" s="304"/>
      <c r="N35" s="304"/>
    </row>
    <row r="36" spans="2:15" ht="12.75" hidden="1" customHeight="1" x14ac:dyDescent="0.25">
      <c r="B36" s="347" t="s">
        <v>45</v>
      </c>
      <c r="C36" s="347"/>
      <c r="D36" s="344"/>
      <c r="E36" s="345"/>
      <c r="F36" s="367"/>
      <c r="G36" s="344">
        <v>50</v>
      </c>
      <c r="H36" s="344">
        <f t="shared" si="2"/>
        <v>0</v>
      </c>
      <c r="J36" s="304"/>
      <c r="K36" s="304"/>
      <c r="L36" s="304"/>
      <c r="M36" s="304"/>
      <c r="N36" s="304"/>
    </row>
    <row r="37" spans="2:15" ht="12.75" hidden="1" customHeight="1" x14ac:dyDescent="0.25">
      <c r="B37" s="347" t="s">
        <v>43</v>
      </c>
      <c r="C37" s="347"/>
      <c r="D37" s="344"/>
      <c r="E37" s="345"/>
      <c r="F37" s="367"/>
      <c r="G37" s="344">
        <v>50</v>
      </c>
      <c r="H37" s="344">
        <f t="shared" si="2"/>
        <v>0</v>
      </c>
      <c r="J37" s="304"/>
      <c r="K37" s="304"/>
      <c r="L37" s="304"/>
      <c r="M37" s="304"/>
      <c r="N37" s="304"/>
    </row>
    <row r="38" spans="2:15" ht="12.75" hidden="1" customHeight="1" x14ac:dyDescent="0.25">
      <c r="B38" s="347" t="s">
        <v>42</v>
      </c>
      <c r="C38" s="347"/>
      <c r="D38" s="344"/>
      <c r="E38" s="345"/>
      <c r="F38" s="367"/>
      <c r="G38" s="344">
        <v>50</v>
      </c>
      <c r="H38" s="344">
        <f t="shared" si="2"/>
        <v>0</v>
      </c>
      <c r="J38" s="304"/>
      <c r="K38" s="304"/>
      <c r="L38" s="304"/>
      <c r="M38" s="304"/>
      <c r="N38" s="304"/>
    </row>
    <row r="39" spans="2:15" ht="12.75" customHeight="1" x14ac:dyDescent="0.25">
      <c r="B39" s="694" t="s">
        <v>72</v>
      </c>
      <c r="C39" s="695"/>
      <c r="D39" s="696"/>
      <c r="E39" s="345" t="s">
        <v>67</v>
      </c>
      <c r="F39" s="367">
        <v>4</v>
      </c>
      <c r="G39" s="344">
        <v>50</v>
      </c>
      <c r="H39" s="344">
        <f t="shared" si="2"/>
        <v>200</v>
      </c>
      <c r="J39" s="724"/>
      <c r="K39" s="724"/>
      <c r="L39" s="724"/>
      <c r="M39" s="724"/>
      <c r="N39" s="724"/>
      <c r="O39" s="390"/>
    </row>
    <row r="40" spans="2:15" ht="12.75" customHeight="1" x14ac:dyDescent="0.25">
      <c r="B40" s="694" t="s">
        <v>73</v>
      </c>
      <c r="C40" s="695"/>
      <c r="D40" s="696"/>
      <c r="E40" s="345" t="s">
        <v>67</v>
      </c>
      <c r="F40" s="367">
        <v>4</v>
      </c>
      <c r="G40" s="344">
        <v>50</v>
      </c>
      <c r="H40" s="344">
        <f t="shared" si="2"/>
        <v>200</v>
      </c>
      <c r="J40" s="724"/>
      <c r="K40" s="724"/>
      <c r="L40" s="724"/>
      <c r="M40" s="724"/>
      <c r="N40" s="724"/>
      <c r="O40" s="390"/>
    </row>
    <row r="41" spans="2:15" x14ac:dyDescent="0.25">
      <c r="B41" s="694" t="s">
        <v>74</v>
      </c>
      <c r="C41" s="695"/>
      <c r="D41" s="696"/>
      <c r="E41" s="345" t="s">
        <v>67</v>
      </c>
      <c r="F41" s="367">
        <v>12</v>
      </c>
      <c r="G41" s="344">
        <v>50</v>
      </c>
      <c r="H41" s="344">
        <f>+F41*G41</f>
        <v>600</v>
      </c>
    </row>
    <row r="42" spans="2:15" x14ac:dyDescent="0.25">
      <c r="B42" s="697" t="s">
        <v>76</v>
      </c>
      <c r="C42" s="698"/>
      <c r="D42" s="699"/>
      <c r="E42" s="375" t="s">
        <v>83</v>
      </c>
      <c r="F42" s="376">
        <f>+SUM(F43)</f>
        <v>0</v>
      </c>
      <c r="G42" s="377"/>
      <c r="H42" s="377"/>
    </row>
    <row r="43" spans="2:15" x14ac:dyDescent="0.25">
      <c r="B43" s="694"/>
      <c r="C43" s="695"/>
      <c r="D43" s="696"/>
      <c r="E43" s="345"/>
      <c r="F43" s="367"/>
      <c r="G43" s="344"/>
      <c r="H43" s="344"/>
    </row>
    <row r="44" spans="2:15" x14ac:dyDescent="0.25">
      <c r="B44" s="728" t="s">
        <v>49</v>
      </c>
      <c r="C44" s="729"/>
      <c r="D44" s="730"/>
      <c r="E44" s="391"/>
      <c r="F44" s="392"/>
      <c r="G44" s="359"/>
      <c r="H44" s="359">
        <f>+SUM(H45+H48)</f>
        <v>2200</v>
      </c>
    </row>
    <row r="45" spans="2:15" x14ac:dyDescent="0.25">
      <c r="B45" s="697" t="s">
        <v>56</v>
      </c>
      <c r="C45" s="698"/>
      <c r="D45" s="699"/>
      <c r="E45" s="393" t="s">
        <v>81</v>
      </c>
      <c r="F45" s="394">
        <f>+SUM(F46:F47)</f>
        <v>6</v>
      </c>
      <c r="G45" s="377">
        <f>+SUM(G46:G47)</f>
        <v>250</v>
      </c>
      <c r="H45" s="377">
        <f>+SUM(H46:H47)</f>
        <v>1500</v>
      </c>
    </row>
    <row r="46" spans="2:15" x14ac:dyDescent="0.25">
      <c r="B46" s="694" t="s">
        <v>198</v>
      </c>
      <c r="C46" s="695"/>
      <c r="D46" s="696"/>
      <c r="E46" s="345" t="s">
        <v>26</v>
      </c>
      <c r="F46" s="367">
        <v>6</v>
      </c>
      <c r="G46" s="344">
        <v>250</v>
      </c>
      <c r="H46" s="344">
        <f>+F46*G46</f>
        <v>1500</v>
      </c>
    </row>
    <row r="47" spans="2:15" x14ac:dyDescent="0.25">
      <c r="B47" s="694"/>
      <c r="C47" s="695"/>
      <c r="D47" s="696"/>
      <c r="E47" s="395"/>
      <c r="F47" s="367"/>
      <c r="G47" s="344"/>
      <c r="H47" s="344"/>
    </row>
    <row r="48" spans="2:15" x14ac:dyDescent="0.25">
      <c r="B48" s="697" t="s">
        <v>77</v>
      </c>
      <c r="C48" s="698"/>
      <c r="D48" s="699"/>
      <c r="E48" s="393" t="s">
        <v>81</v>
      </c>
      <c r="F48" s="394">
        <v>1</v>
      </c>
      <c r="G48" s="377"/>
      <c r="H48" s="377">
        <f>+SUM(H49:H49)</f>
        <v>700</v>
      </c>
      <c r="I48" s="386"/>
    </row>
    <row r="49" spans="2:11" x14ac:dyDescent="0.25">
      <c r="B49" s="694" t="s">
        <v>330</v>
      </c>
      <c r="C49" s="695"/>
      <c r="D49" s="696"/>
      <c r="E49" s="395" t="s">
        <v>81</v>
      </c>
      <c r="F49" s="367">
        <v>1</v>
      </c>
      <c r="G49" s="344">
        <v>700</v>
      </c>
      <c r="H49" s="344">
        <f>+F49*G49</f>
        <v>700</v>
      </c>
    </row>
    <row r="50" spans="2:11" x14ac:dyDescent="0.25">
      <c r="B50" s="700" t="s">
        <v>53</v>
      </c>
      <c r="C50" s="701"/>
      <c r="D50" s="701"/>
      <c r="E50" s="701"/>
      <c r="F50" s="701"/>
      <c r="G50" s="702"/>
      <c r="H50" s="396">
        <f>+SUM(H13+H44)</f>
        <v>16317.5</v>
      </c>
      <c r="I50" s="397"/>
    </row>
    <row r="53" spans="2:11" x14ac:dyDescent="0.25">
      <c r="B53" s="333"/>
      <c r="C53" s="333"/>
      <c r="D53" s="334"/>
      <c r="E53" s="335"/>
      <c r="F53" s="704" t="s">
        <v>199</v>
      </c>
      <c r="G53" s="705"/>
      <c r="H53" s="705"/>
      <c r="I53" s="705"/>
      <c r="J53" s="705"/>
      <c r="K53" s="705"/>
    </row>
    <row r="54" spans="2:11" ht="17.25" customHeight="1" x14ac:dyDescent="0.25">
      <c r="B54" s="333"/>
      <c r="C54" s="333"/>
      <c r="D54" s="334"/>
      <c r="E54" s="335"/>
      <c r="F54" s="706" t="s">
        <v>28</v>
      </c>
      <c r="G54" s="733" t="s">
        <v>86</v>
      </c>
      <c r="H54" s="734"/>
      <c r="I54" s="734"/>
      <c r="J54" s="734"/>
      <c r="K54" s="735"/>
    </row>
    <row r="55" spans="2:11" x14ac:dyDescent="0.25">
      <c r="B55" s="446" t="s">
        <v>313</v>
      </c>
      <c r="C55" s="446"/>
      <c r="D55" s="446"/>
      <c r="E55" s="371"/>
      <c r="F55" s="707"/>
      <c r="G55" s="709">
        <v>1</v>
      </c>
      <c r="H55" s="709">
        <v>2</v>
      </c>
      <c r="I55" s="731">
        <v>3</v>
      </c>
      <c r="J55" s="731">
        <v>4</v>
      </c>
      <c r="K55" s="731">
        <v>5</v>
      </c>
    </row>
    <row r="56" spans="2:11" x14ac:dyDescent="0.25">
      <c r="B56" s="398" t="s">
        <v>28</v>
      </c>
      <c r="C56" s="399" t="s">
        <v>37</v>
      </c>
      <c r="E56" s="372"/>
      <c r="F56" s="708"/>
      <c r="G56" s="710"/>
      <c r="H56" s="710"/>
      <c r="I56" s="732"/>
      <c r="J56" s="732"/>
      <c r="K56" s="732"/>
    </row>
    <row r="57" spans="2:11" x14ac:dyDescent="0.25">
      <c r="B57" s="400" t="s">
        <v>38</v>
      </c>
      <c r="C57" s="401">
        <f>+SUM(C58+C63+C67)</f>
        <v>14117.5</v>
      </c>
      <c r="E57" s="371"/>
      <c r="F57" s="436" t="s">
        <v>38</v>
      </c>
      <c r="G57" s="401">
        <f>+G58+G63+G67</f>
        <v>352937.5</v>
      </c>
      <c r="H57" s="401">
        <f>+H58+H63+H67</f>
        <v>368606.25</v>
      </c>
      <c r="I57" s="401">
        <f>+I58+I63+I67</f>
        <v>385823.125</v>
      </c>
      <c r="J57" s="401">
        <f>+J58+J63+J67</f>
        <v>404742</v>
      </c>
      <c r="K57" s="401">
        <f>+K58+K63+K67</f>
        <v>425532.09062500001</v>
      </c>
    </row>
    <row r="58" spans="2:11" ht="15" customHeight="1" x14ac:dyDescent="0.25">
      <c r="B58" s="402" t="s">
        <v>75</v>
      </c>
      <c r="C58" s="403">
        <f>+SUM(C59:C62)</f>
        <v>6417.5</v>
      </c>
      <c r="E58" s="404"/>
      <c r="F58" s="437" t="s">
        <v>75</v>
      </c>
      <c r="G58" s="405">
        <f>+SUM(G59:G62)</f>
        <v>160437.5</v>
      </c>
      <c r="H58" s="405">
        <f>+SUM(H59:H62)</f>
        <v>176106.25</v>
      </c>
      <c r="I58" s="405">
        <f>+SUM(I59:I62)</f>
        <v>193323.125</v>
      </c>
      <c r="J58" s="405">
        <f>+SUM(J59:J62)</f>
        <v>212242</v>
      </c>
      <c r="K58" s="405">
        <f>+SUM(K59:K62)</f>
        <v>233032.09062500001</v>
      </c>
    </row>
    <row r="59" spans="2:11" x14ac:dyDescent="0.25">
      <c r="B59" s="406" t="s">
        <v>68</v>
      </c>
      <c r="C59" s="407">
        <f>+H15</f>
        <v>200</v>
      </c>
      <c r="E59" s="441"/>
      <c r="F59" s="438" t="s">
        <v>68</v>
      </c>
      <c r="G59" s="408">
        <f>+C59*25</f>
        <v>5000</v>
      </c>
      <c r="H59" s="408">
        <f>+G59*1.05</f>
        <v>5250</v>
      </c>
      <c r="I59" s="408">
        <f>+H59*1.05</f>
        <v>5512.5</v>
      </c>
      <c r="J59" s="408">
        <f>+I59*1.05</f>
        <v>5788.125</v>
      </c>
      <c r="K59" s="408">
        <f>+J59*1.05</f>
        <v>6077.53125</v>
      </c>
    </row>
    <row r="60" spans="2:11" x14ac:dyDescent="0.25">
      <c r="B60" s="406" t="s">
        <v>82</v>
      </c>
      <c r="C60" s="407">
        <f>+H17</f>
        <v>100</v>
      </c>
      <c r="E60" s="442"/>
      <c r="F60" s="438" t="s">
        <v>82</v>
      </c>
      <c r="G60" s="408">
        <f>+C60*25</f>
        <v>2500</v>
      </c>
      <c r="H60" s="408">
        <f>+G60*1.05</f>
        <v>2625</v>
      </c>
      <c r="I60" s="408">
        <f t="shared" ref="I60:K60" si="3">+H60*1.05</f>
        <v>2756.25</v>
      </c>
      <c r="J60" s="408">
        <f t="shared" si="3"/>
        <v>2894.0625</v>
      </c>
      <c r="K60" s="408">
        <f t="shared" si="3"/>
        <v>3038.765625</v>
      </c>
    </row>
    <row r="61" spans="2:11" x14ac:dyDescent="0.25">
      <c r="B61" s="406" t="s">
        <v>39</v>
      </c>
      <c r="C61" s="407">
        <f>+H19</f>
        <v>5117.5</v>
      </c>
      <c r="E61" s="404"/>
      <c r="F61" s="438" t="s">
        <v>39</v>
      </c>
      <c r="G61" s="408">
        <f>+C61*25</f>
        <v>127937.5</v>
      </c>
      <c r="H61" s="408">
        <f>+G61*1.1</f>
        <v>140731.25</v>
      </c>
      <c r="I61" s="408">
        <f t="shared" ref="I61:K61" si="4">+H61*1.1</f>
        <v>154804.375</v>
      </c>
      <c r="J61" s="408">
        <f t="shared" si="4"/>
        <v>170284.8125</v>
      </c>
      <c r="K61" s="408">
        <f t="shared" si="4"/>
        <v>187313.29375000001</v>
      </c>
    </row>
    <row r="62" spans="2:11" x14ac:dyDescent="0.25">
      <c r="B62" s="406" t="s">
        <v>79</v>
      </c>
      <c r="C62" s="407">
        <f>+H23</f>
        <v>1000</v>
      </c>
      <c r="E62" s="404"/>
      <c r="F62" s="438" t="s">
        <v>79</v>
      </c>
      <c r="G62" s="408">
        <f>+C62*25</f>
        <v>25000</v>
      </c>
      <c r="H62" s="408">
        <f>+G62*1.1</f>
        <v>27500.000000000004</v>
      </c>
      <c r="I62" s="408">
        <f t="shared" ref="I62:K62" si="5">+H62*1.1</f>
        <v>30250.000000000007</v>
      </c>
      <c r="J62" s="408">
        <f t="shared" si="5"/>
        <v>33275.000000000007</v>
      </c>
      <c r="K62" s="408">
        <f t="shared" si="5"/>
        <v>36602.500000000015</v>
      </c>
    </row>
    <row r="63" spans="2:11" x14ac:dyDescent="0.25">
      <c r="B63" s="482" t="s">
        <v>55</v>
      </c>
      <c r="C63" s="409">
        <f>+SUM(C64:C66)</f>
        <v>7700</v>
      </c>
      <c r="E63" s="404"/>
      <c r="F63" s="483" t="s">
        <v>55</v>
      </c>
      <c r="G63" s="405">
        <f>+SUM(G64:G66)</f>
        <v>192500</v>
      </c>
      <c r="H63" s="405">
        <f>+SUM(H64:H66)</f>
        <v>192500</v>
      </c>
      <c r="I63" s="405">
        <f>+SUM(I64:I66)</f>
        <v>192500</v>
      </c>
      <c r="J63" s="405">
        <f>+SUM(J64:J66)</f>
        <v>192500</v>
      </c>
      <c r="K63" s="405">
        <f>+SUM(K64:K66)</f>
        <v>192500</v>
      </c>
    </row>
    <row r="64" spans="2:11" x14ac:dyDescent="0.25">
      <c r="B64" s="406" t="s">
        <v>195</v>
      </c>
      <c r="C64" s="407">
        <f>+H25</f>
        <v>3000</v>
      </c>
      <c r="E64" s="404"/>
      <c r="F64" s="406" t="s">
        <v>195</v>
      </c>
      <c r="G64" s="410">
        <f>+C64*25</f>
        <v>75000</v>
      </c>
      <c r="H64" s="410">
        <f>+G64</f>
        <v>75000</v>
      </c>
      <c r="I64" s="410">
        <f t="shared" ref="I64:K64" si="6">+H64</f>
        <v>75000</v>
      </c>
      <c r="J64" s="410">
        <f t="shared" si="6"/>
        <v>75000</v>
      </c>
      <c r="K64" s="410">
        <f t="shared" si="6"/>
        <v>75000</v>
      </c>
    </row>
    <row r="65" spans="2:12" x14ac:dyDescent="0.25">
      <c r="B65" s="406" t="s">
        <v>196</v>
      </c>
      <c r="C65" s="407">
        <f>+H28</f>
        <v>2500</v>
      </c>
      <c r="E65" s="404"/>
      <c r="F65" s="406" t="s">
        <v>196</v>
      </c>
      <c r="G65" s="410">
        <f>+C65*25</f>
        <v>62500</v>
      </c>
      <c r="H65" s="410">
        <f>+G65</f>
        <v>62500</v>
      </c>
      <c r="I65" s="410">
        <f t="shared" ref="I65:K65" si="7">+H65</f>
        <v>62500</v>
      </c>
      <c r="J65" s="410">
        <f t="shared" si="7"/>
        <v>62500</v>
      </c>
      <c r="K65" s="410">
        <f t="shared" si="7"/>
        <v>62500</v>
      </c>
    </row>
    <row r="66" spans="2:12" x14ac:dyDescent="0.25">
      <c r="B66" s="406" t="s">
        <v>197</v>
      </c>
      <c r="C66" s="407">
        <f>+H31</f>
        <v>2200</v>
      </c>
      <c r="E66" s="404"/>
      <c r="F66" s="406" t="s">
        <v>197</v>
      </c>
      <c r="G66" s="410">
        <f>+C66*25</f>
        <v>55000</v>
      </c>
      <c r="H66" s="410">
        <f>+G66</f>
        <v>55000</v>
      </c>
      <c r="I66" s="410">
        <f t="shared" ref="I66:K66" si="8">+H66</f>
        <v>55000</v>
      </c>
      <c r="J66" s="410">
        <f t="shared" si="8"/>
        <v>55000</v>
      </c>
      <c r="K66" s="410">
        <f t="shared" si="8"/>
        <v>55000</v>
      </c>
    </row>
    <row r="67" spans="2:12" x14ac:dyDescent="0.25">
      <c r="B67" s="482" t="s">
        <v>76</v>
      </c>
      <c r="C67" s="409">
        <v>0</v>
      </c>
      <c r="E67" s="404"/>
      <c r="F67" s="483" t="s">
        <v>76</v>
      </c>
      <c r="G67" s="405">
        <f>+C67</f>
        <v>0</v>
      </c>
      <c r="H67" s="405">
        <f t="shared" ref="H67" si="9">+G67*0.27</f>
        <v>0</v>
      </c>
      <c r="I67" s="405">
        <f t="shared" ref="I67" si="10">+H67*1.02</f>
        <v>0</v>
      </c>
      <c r="J67" s="405">
        <f t="shared" ref="J67:K67" si="11">+I67*1.25</f>
        <v>0</v>
      </c>
      <c r="K67" s="405">
        <f t="shared" si="11"/>
        <v>0</v>
      </c>
    </row>
    <row r="68" spans="2:12" x14ac:dyDescent="0.25">
      <c r="B68" s="411" t="s">
        <v>49</v>
      </c>
      <c r="C68" s="412">
        <f>+SUM(C69:C71)</f>
        <v>3700</v>
      </c>
      <c r="E68" s="404"/>
      <c r="F68" s="439" t="s">
        <v>49</v>
      </c>
      <c r="G68" s="401">
        <f>+G69+G71</f>
        <v>55000</v>
      </c>
      <c r="H68" s="401">
        <f>+H69+H71</f>
        <v>55000</v>
      </c>
      <c r="I68" s="401">
        <f>+I69+I71</f>
        <v>55000</v>
      </c>
      <c r="J68" s="401">
        <f>+J69+J71</f>
        <v>55000</v>
      </c>
      <c r="K68" s="401">
        <f>+K69+K71</f>
        <v>55000</v>
      </c>
    </row>
    <row r="69" spans="2:12" x14ac:dyDescent="0.25">
      <c r="B69" s="482" t="s">
        <v>56</v>
      </c>
      <c r="C69" s="409">
        <f>+C70</f>
        <v>1500</v>
      </c>
      <c r="E69" s="442"/>
      <c r="F69" s="483" t="s">
        <v>56</v>
      </c>
      <c r="G69" s="405">
        <f>+G70</f>
        <v>37500</v>
      </c>
      <c r="H69" s="405">
        <f t="shared" ref="H69:K69" si="12">+H70</f>
        <v>37500</v>
      </c>
      <c r="I69" s="405">
        <f t="shared" si="12"/>
        <v>37500</v>
      </c>
      <c r="J69" s="405">
        <f t="shared" si="12"/>
        <v>37500</v>
      </c>
      <c r="K69" s="405">
        <f t="shared" si="12"/>
        <v>37500</v>
      </c>
    </row>
    <row r="70" spans="2:12" s="116" customFormat="1" x14ac:dyDescent="0.25">
      <c r="B70" s="406" t="str">
        <f>+B46</f>
        <v>Asistencia tecnica de campo</v>
      </c>
      <c r="C70" s="407">
        <f>+H46</f>
        <v>1500</v>
      </c>
      <c r="D70" s="480"/>
      <c r="E70" s="481"/>
      <c r="F70" s="438" t="str">
        <f>+B70</f>
        <v>Asistencia tecnica de campo</v>
      </c>
      <c r="G70" s="485">
        <f>+C70*25</f>
        <v>37500</v>
      </c>
      <c r="H70" s="485">
        <f>+G70</f>
        <v>37500</v>
      </c>
      <c r="I70" s="485">
        <f t="shared" ref="I70:K70" si="13">+H70</f>
        <v>37500</v>
      </c>
      <c r="J70" s="485">
        <f t="shared" si="13"/>
        <v>37500</v>
      </c>
      <c r="K70" s="485">
        <f t="shared" si="13"/>
        <v>37500</v>
      </c>
    </row>
    <row r="71" spans="2:12" x14ac:dyDescent="0.25">
      <c r="B71" s="482" t="s">
        <v>77</v>
      </c>
      <c r="C71" s="409">
        <f>+C72</f>
        <v>700</v>
      </c>
      <c r="E71" s="442"/>
      <c r="F71" s="483" t="s">
        <v>77</v>
      </c>
      <c r="G71" s="405">
        <f>+G72</f>
        <v>17500</v>
      </c>
      <c r="H71" s="405">
        <f t="shared" ref="H71:K71" si="14">+H72</f>
        <v>17500</v>
      </c>
      <c r="I71" s="405">
        <f t="shared" si="14"/>
        <v>17500</v>
      </c>
      <c r="J71" s="405">
        <f t="shared" si="14"/>
        <v>17500</v>
      </c>
      <c r="K71" s="405">
        <f t="shared" si="14"/>
        <v>17500</v>
      </c>
    </row>
    <row r="72" spans="2:12" s="116" customFormat="1" x14ac:dyDescent="0.25">
      <c r="B72" s="484" t="str">
        <f>+B49</f>
        <v>Fletes internos</v>
      </c>
      <c r="C72" s="407">
        <f>+H49</f>
        <v>700</v>
      </c>
      <c r="D72" s="480"/>
      <c r="E72" s="481"/>
      <c r="F72" s="486" t="str">
        <f>+B72</f>
        <v>Fletes internos</v>
      </c>
      <c r="G72" s="485">
        <f>+C72*25</f>
        <v>17500</v>
      </c>
      <c r="H72" s="485">
        <f>+G72</f>
        <v>17500</v>
      </c>
      <c r="I72" s="485">
        <f t="shared" ref="I72:K72" si="15">+H72</f>
        <v>17500</v>
      </c>
      <c r="J72" s="485">
        <f t="shared" si="15"/>
        <v>17500</v>
      </c>
      <c r="K72" s="485">
        <f t="shared" si="15"/>
        <v>17500</v>
      </c>
    </row>
    <row r="73" spans="2:12" ht="44.25" customHeight="1" x14ac:dyDescent="0.25">
      <c r="B73" s="445" t="s">
        <v>317</v>
      </c>
      <c r="C73" s="413">
        <f>+C57+C68</f>
        <v>17817.5</v>
      </c>
      <c r="D73" s="414">
        <f>+C73/6000</f>
        <v>2.9695833333333335</v>
      </c>
      <c r="F73" s="445" t="s">
        <v>317</v>
      </c>
      <c r="G73" s="415">
        <f>+G57+G68</f>
        <v>407937.5</v>
      </c>
      <c r="H73" s="415">
        <f>+H57+H68</f>
        <v>423606.25</v>
      </c>
      <c r="I73" s="415">
        <f>+I57+I68</f>
        <v>440823.125</v>
      </c>
      <c r="J73" s="415">
        <f>+J57+J68</f>
        <v>459742</v>
      </c>
      <c r="K73" s="415">
        <f>+K57+K68</f>
        <v>480532.09062500001</v>
      </c>
    </row>
    <row r="74" spans="2:12" x14ac:dyDescent="0.25">
      <c r="B74" s="333"/>
      <c r="C74" s="333"/>
      <c r="D74" s="334"/>
      <c r="E74" s="335"/>
    </row>
    <row r="75" spans="2:12" x14ac:dyDescent="0.25">
      <c r="B75" s="333"/>
      <c r="C75" s="333"/>
      <c r="D75" s="334"/>
      <c r="E75" s="335"/>
      <c r="F75" s="336"/>
      <c r="G75" s="334"/>
      <c r="H75" s="334"/>
      <c r="I75" s="333"/>
      <c r="J75" s="333"/>
      <c r="K75" s="333"/>
    </row>
    <row r="76" spans="2:12" x14ac:dyDescent="0.25">
      <c r="B76" s="333"/>
      <c r="C76" s="333"/>
      <c r="D76" s="334"/>
      <c r="E76" s="335"/>
      <c r="F76" s="336"/>
      <c r="G76" s="334"/>
      <c r="H76" s="334"/>
      <c r="I76" s="333"/>
      <c r="J76" s="333"/>
      <c r="K76" s="333"/>
    </row>
    <row r="77" spans="2:12" x14ac:dyDescent="0.25">
      <c r="B77" s="703" t="s">
        <v>182</v>
      </c>
      <c r="C77" s="703"/>
      <c r="D77" s="703"/>
      <c r="E77" s="703"/>
      <c r="F77" s="703"/>
      <c r="G77" s="334"/>
      <c r="H77" s="334"/>
      <c r="I77" s="333"/>
      <c r="J77" s="333"/>
      <c r="K77" s="333"/>
    </row>
    <row r="78" spans="2:12" x14ac:dyDescent="0.25">
      <c r="B78" s="371"/>
      <c r="C78" s="371"/>
      <c r="D78" s="414"/>
      <c r="E78" s="371"/>
      <c r="F78" s="418"/>
      <c r="G78" s="334"/>
      <c r="H78" s="334"/>
      <c r="I78" s="333"/>
      <c r="J78" s="333"/>
      <c r="K78" s="333"/>
    </row>
    <row r="79" spans="2:12" x14ac:dyDescent="0.25">
      <c r="B79" s="333"/>
      <c r="C79" s="333"/>
      <c r="D79" s="334"/>
      <c r="E79" s="335"/>
      <c r="F79" s="336"/>
      <c r="G79" s="334"/>
      <c r="H79" s="334"/>
      <c r="I79" s="333"/>
      <c r="J79" s="333"/>
      <c r="K79" s="333"/>
      <c r="L79" s="333"/>
    </row>
    <row r="80" spans="2:12" x14ac:dyDescent="0.25">
      <c r="B80" s="333"/>
      <c r="C80" s="333"/>
      <c r="D80" s="334"/>
      <c r="E80" s="335"/>
      <c r="F80" s="336"/>
      <c r="G80" s="334"/>
      <c r="H80" s="334"/>
      <c r="I80" s="333"/>
      <c r="J80" s="333"/>
      <c r="K80" s="333"/>
      <c r="L80" s="333"/>
    </row>
    <row r="81" spans="2:12" ht="27.75" customHeight="1" x14ac:dyDescent="0.25">
      <c r="B81" s="690" t="s">
        <v>307</v>
      </c>
      <c r="C81" s="690"/>
      <c r="D81" s="690"/>
      <c r="E81" s="690"/>
      <c r="F81" s="690"/>
      <c r="G81" s="690" t="s">
        <v>86</v>
      </c>
      <c r="H81" s="690"/>
      <c r="I81" s="690"/>
      <c r="J81" s="690"/>
      <c r="K81" s="690"/>
      <c r="L81" s="333"/>
    </row>
    <row r="82" spans="2:12" ht="36" x14ac:dyDescent="0.25">
      <c r="B82" s="419" t="s">
        <v>28</v>
      </c>
      <c r="C82" s="419" t="s">
        <v>21</v>
      </c>
      <c r="D82" s="420" t="s">
        <v>36</v>
      </c>
      <c r="E82" s="421" t="s">
        <v>308</v>
      </c>
      <c r="F82" s="422" t="s">
        <v>309</v>
      </c>
      <c r="G82" s="447">
        <v>1</v>
      </c>
      <c r="H82" s="432">
        <v>2</v>
      </c>
      <c r="I82" s="450">
        <v>3</v>
      </c>
      <c r="J82" s="433">
        <v>4</v>
      </c>
      <c r="K82" s="448">
        <v>5</v>
      </c>
      <c r="L82" s="333"/>
    </row>
    <row r="83" spans="2:12" x14ac:dyDescent="0.2">
      <c r="B83" s="487" t="s">
        <v>87</v>
      </c>
      <c r="C83" s="487"/>
      <c r="D83" s="488"/>
      <c r="E83" s="489"/>
      <c r="F83" s="490">
        <f>SUM(F84:F86)</f>
        <v>39500</v>
      </c>
      <c r="G83" s="491">
        <f>+F83</f>
        <v>39500</v>
      </c>
      <c r="H83" s="492">
        <f t="shared" ref="H83:K83" si="16">+G83</f>
        <v>39500</v>
      </c>
      <c r="I83" s="493">
        <f t="shared" si="16"/>
        <v>39500</v>
      </c>
      <c r="J83" s="492">
        <f t="shared" si="16"/>
        <v>39500</v>
      </c>
      <c r="K83" s="494">
        <f t="shared" si="16"/>
        <v>39500</v>
      </c>
      <c r="L83" s="333"/>
    </row>
    <row r="84" spans="2:12" x14ac:dyDescent="0.2">
      <c r="B84" s="423" t="s">
        <v>310</v>
      </c>
      <c r="C84" s="424" t="s">
        <v>26</v>
      </c>
      <c r="D84" s="443">
        <v>4</v>
      </c>
      <c r="E84" s="444">
        <v>1500</v>
      </c>
      <c r="F84" s="425">
        <f>D84*E84</f>
        <v>6000</v>
      </c>
      <c r="G84" s="334">
        <f>+F84</f>
        <v>6000</v>
      </c>
      <c r="H84" s="449">
        <f t="shared" ref="H84:K84" si="17">+G84</f>
        <v>6000</v>
      </c>
      <c r="I84" s="334">
        <f t="shared" si="17"/>
        <v>6000</v>
      </c>
      <c r="J84" s="449">
        <f t="shared" si="17"/>
        <v>6000</v>
      </c>
      <c r="K84" s="334">
        <f t="shared" si="17"/>
        <v>6000</v>
      </c>
      <c r="L84" s="333"/>
    </row>
    <row r="85" spans="2:12" x14ac:dyDescent="0.2">
      <c r="B85" s="423" t="s">
        <v>331</v>
      </c>
      <c r="C85" s="424" t="s">
        <v>81</v>
      </c>
      <c r="D85" s="443">
        <v>1</v>
      </c>
      <c r="E85" s="444">
        <f>10*3000</f>
        <v>30000</v>
      </c>
      <c r="F85" s="425">
        <f>D85*E85</f>
        <v>30000</v>
      </c>
      <c r="G85" s="334">
        <f t="shared" ref="G85:K85" si="18">+F85</f>
        <v>30000</v>
      </c>
      <c r="H85" s="449">
        <f t="shared" si="18"/>
        <v>30000</v>
      </c>
      <c r="I85" s="334">
        <f t="shared" si="18"/>
        <v>30000</v>
      </c>
      <c r="J85" s="449">
        <f t="shared" si="18"/>
        <v>30000</v>
      </c>
      <c r="K85" s="334">
        <f t="shared" si="18"/>
        <v>30000</v>
      </c>
      <c r="L85" s="333"/>
    </row>
    <row r="86" spans="2:12" x14ac:dyDescent="0.2">
      <c r="B86" s="423" t="s">
        <v>316</v>
      </c>
      <c r="C86" s="424" t="s">
        <v>81</v>
      </c>
      <c r="D86" s="443">
        <v>1</v>
      </c>
      <c r="E86" s="444">
        <f>10*700*0.5</f>
        <v>3500</v>
      </c>
      <c r="F86" s="425">
        <f>D86*E86</f>
        <v>3500</v>
      </c>
      <c r="G86" s="334">
        <f t="shared" ref="G86:K86" si="19">+F86</f>
        <v>3500</v>
      </c>
      <c r="H86" s="449">
        <f t="shared" si="19"/>
        <v>3500</v>
      </c>
      <c r="I86" s="334">
        <f t="shared" si="19"/>
        <v>3500</v>
      </c>
      <c r="J86" s="449">
        <f t="shared" si="19"/>
        <v>3500</v>
      </c>
      <c r="K86" s="334">
        <f t="shared" si="19"/>
        <v>3500</v>
      </c>
      <c r="L86" s="333"/>
    </row>
    <row r="87" spans="2:12" x14ac:dyDescent="0.25">
      <c r="B87" s="495" t="s">
        <v>88</v>
      </c>
      <c r="C87" s="496"/>
      <c r="D87" s="488"/>
      <c r="E87" s="497"/>
      <c r="F87" s="498">
        <f>SUM(F88:F90)</f>
        <v>12840</v>
      </c>
      <c r="G87" s="491">
        <f>+F87</f>
        <v>12840</v>
      </c>
      <c r="H87" s="492">
        <f t="shared" ref="H87:K88" si="20">+G87</f>
        <v>12840</v>
      </c>
      <c r="I87" s="493">
        <f t="shared" si="20"/>
        <v>12840</v>
      </c>
      <c r="J87" s="492">
        <f t="shared" si="20"/>
        <v>12840</v>
      </c>
      <c r="K87" s="494">
        <f t="shared" si="20"/>
        <v>12840</v>
      </c>
      <c r="L87" s="333"/>
    </row>
    <row r="88" spans="2:12" x14ac:dyDescent="0.2">
      <c r="B88" s="423" t="s">
        <v>318</v>
      </c>
      <c r="C88" s="424" t="s">
        <v>26</v>
      </c>
      <c r="D88" s="434">
        <v>12</v>
      </c>
      <c r="E88" s="444">
        <v>930</v>
      </c>
      <c r="F88" s="426">
        <f>E88*D88</f>
        <v>11160</v>
      </c>
      <c r="G88" s="334">
        <f>+F88</f>
        <v>11160</v>
      </c>
      <c r="H88" s="449">
        <f t="shared" si="20"/>
        <v>11160</v>
      </c>
      <c r="I88" s="333">
        <f t="shared" si="20"/>
        <v>11160</v>
      </c>
      <c r="J88" s="451">
        <f t="shared" si="20"/>
        <v>11160</v>
      </c>
      <c r="K88" s="333">
        <f t="shared" si="20"/>
        <v>11160</v>
      </c>
      <c r="L88" s="333"/>
    </row>
    <row r="89" spans="2:12" x14ac:dyDescent="0.2">
      <c r="B89" s="427" t="s">
        <v>311</v>
      </c>
      <c r="C89" s="428" t="s">
        <v>26</v>
      </c>
      <c r="D89" s="435">
        <v>12</v>
      </c>
      <c r="E89" s="429">
        <v>90</v>
      </c>
      <c r="F89" s="426">
        <f>E89*D89</f>
        <v>1080</v>
      </c>
      <c r="G89" s="334">
        <f t="shared" ref="G89:K89" si="21">+F89</f>
        <v>1080</v>
      </c>
      <c r="H89" s="449">
        <f t="shared" si="21"/>
        <v>1080</v>
      </c>
      <c r="I89" s="333">
        <f t="shared" si="21"/>
        <v>1080</v>
      </c>
      <c r="J89" s="451">
        <f t="shared" si="21"/>
        <v>1080</v>
      </c>
      <c r="K89" s="333">
        <f t="shared" si="21"/>
        <v>1080</v>
      </c>
      <c r="L89" s="333"/>
    </row>
    <row r="90" spans="2:12" x14ac:dyDescent="0.2">
      <c r="B90" s="427" t="s">
        <v>312</v>
      </c>
      <c r="C90" s="428" t="s">
        <v>26</v>
      </c>
      <c r="D90" s="435">
        <v>12</v>
      </c>
      <c r="E90" s="429">
        <v>50</v>
      </c>
      <c r="F90" s="426">
        <f>E90*D90</f>
        <v>600</v>
      </c>
      <c r="G90" s="334">
        <f t="shared" ref="G90:K90" si="22">+F90</f>
        <v>600</v>
      </c>
      <c r="H90" s="449">
        <f t="shared" si="22"/>
        <v>600</v>
      </c>
      <c r="I90" s="333">
        <f t="shared" si="22"/>
        <v>600</v>
      </c>
      <c r="J90" s="451">
        <f t="shared" si="22"/>
        <v>600</v>
      </c>
      <c r="K90" s="333">
        <f t="shared" si="22"/>
        <v>600</v>
      </c>
      <c r="L90" s="333"/>
    </row>
    <row r="91" spans="2:12" x14ac:dyDescent="0.2">
      <c r="B91" s="691" t="s">
        <v>89</v>
      </c>
      <c r="C91" s="692"/>
      <c r="D91" s="692"/>
      <c r="E91" s="693"/>
      <c r="F91" s="430">
        <f>F83+F87</f>
        <v>52340</v>
      </c>
      <c r="G91" s="452">
        <f>+G83+G87</f>
        <v>52340</v>
      </c>
      <c r="H91" s="453">
        <f t="shared" ref="H91:K91" si="23">+H83+H87</f>
        <v>52340</v>
      </c>
      <c r="I91" s="454">
        <f t="shared" si="23"/>
        <v>52340</v>
      </c>
      <c r="J91" s="453">
        <f t="shared" si="23"/>
        <v>52340</v>
      </c>
      <c r="K91" s="455">
        <f t="shared" si="23"/>
        <v>52340</v>
      </c>
      <c r="L91" s="333"/>
    </row>
    <row r="92" spans="2:12" x14ac:dyDescent="0.25">
      <c r="B92" s="333"/>
      <c r="C92" s="333"/>
      <c r="D92" s="334"/>
      <c r="E92" s="335"/>
      <c r="F92" s="336"/>
      <c r="G92" s="334"/>
      <c r="H92" s="334"/>
      <c r="I92" s="333"/>
      <c r="J92" s="333"/>
      <c r="K92" s="333"/>
      <c r="L92" s="333"/>
    </row>
    <row r="93" spans="2:12" x14ac:dyDescent="0.25">
      <c r="B93" s="333"/>
      <c r="C93" s="333"/>
      <c r="D93" s="334"/>
      <c r="E93" s="335"/>
      <c r="F93" s="336"/>
      <c r="G93" s="334"/>
      <c r="H93" s="334"/>
      <c r="I93" s="333"/>
      <c r="J93" s="333"/>
      <c r="K93" s="333"/>
      <c r="L93" s="333"/>
    </row>
    <row r="94" spans="2:12" x14ac:dyDescent="0.25">
      <c r="B94" s="333"/>
      <c r="C94" s="333"/>
      <c r="D94" s="334"/>
      <c r="E94" s="335"/>
      <c r="F94" s="336"/>
      <c r="G94" s="334"/>
      <c r="H94" s="334"/>
      <c r="I94" s="333"/>
      <c r="J94" s="333"/>
      <c r="K94" s="333"/>
      <c r="L94" s="333"/>
    </row>
    <row r="95" spans="2:12" x14ac:dyDescent="0.25">
      <c r="B95" s="333"/>
      <c r="C95" s="333"/>
      <c r="D95" s="334"/>
      <c r="E95" s="335"/>
      <c r="F95" s="336"/>
      <c r="G95" s="334"/>
      <c r="H95" s="334"/>
      <c r="I95" s="333"/>
      <c r="J95" s="333"/>
      <c r="K95" s="333"/>
      <c r="L95" s="333"/>
    </row>
  </sheetData>
  <mergeCells count="55">
    <mergeCell ref="I55:I56"/>
    <mergeCell ref="J55:J56"/>
    <mergeCell ref="K55:K56"/>
    <mergeCell ref="G54:K54"/>
    <mergeCell ref="G81:K81"/>
    <mergeCell ref="J22:N22"/>
    <mergeCell ref="J27:N27"/>
    <mergeCell ref="J33:M33"/>
    <mergeCell ref="J39:N40"/>
    <mergeCell ref="B47:D47"/>
    <mergeCell ref="B23:D23"/>
    <mergeCell ref="B24:D24"/>
    <mergeCell ref="B26:D26"/>
    <mergeCell ref="B27:D27"/>
    <mergeCell ref="B31:D31"/>
    <mergeCell ref="B32:D32"/>
    <mergeCell ref="B28:D28"/>
    <mergeCell ref="B25:D25"/>
    <mergeCell ref="B33:D33"/>
    <mergeCell ref="B41:D41"/>
    <mergeCell ref="B44:D44"/>
    <mergeCell ref="B15:D15"/>
    <mergeCell ref="B13:D13"/>
    <mergeCell ref="B16:D16"/>
    <mergeCell ref="B22:D22"/>
    <mergeCell ref="B7:B8"/>
    <mergeCell ref="B11:D12"/>
    <mergeCell ref="B14:D14"/>
    <mergeCell ref="B20:D20"/>
    <mergeCell ref="B21:D21"/>
    <mergeCell ref="B18:D18"/>
    <mergeCell ref="B19:D19"/>
    <mergeCell ref="B17:D17"/>
    <mergeCell ref="K2:L2"/>
    <mergeCell ref="E11:E12"/>
    <mergeCell ref="F11:F12"/>
    <mergeCell ref="B4:H4"/>
    <mergeCell ref="G11:G12"/>
    <mergeCell ref="H11:H12"/>
    <mergeCell ref="B81:F81"/>
    <mergeCell ref="B91:E91"/>
    <mergeCell ref="B39:D39"/>
    <mergeCell ref="B40:D40"/>
    <mergeCell ref="B42:D42"/>
    <mergeCell ref="B43:D43"/>
    <mergeCell ref="B50:G50"/>
    <mergeCell ref="B45:D45"/>
    <mergeCell ref="B46:D46"/>
    <mergeCell ref="B49:D49"/>
    <mergeCell ref="B48:D48"/>
    <mergeCell ref="B77:F77"/>
    <mergeCell ref="F53:K53"/>
    <mergeCell ref="F54:F56"/>
    <mergeCell ref="G55:G56"/>
    <mergeCell ref="H55:H56"/>
  </mergeCells>
  <pageMargins left="0.77" right="0.75" top="0.48" bottom="1" header="0" footer="0"/>
  <pageSetup paperSize="9" scale="32" orientation="portrait" horizontalDpi="4294967292" r:id="rId1"/>
  <headerFooter alignWithMargins="0"/>
  <ignoredErrors>
    <ignoredError sqref="C63 C70 G63 G70:G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14</vt:i4>
      </vt:variant>
    </vt:vector>
  </HeadingPairs>
  <TitlesOfParts>
    <vt:vector size="32" baseType="lpstr">
      <vt:lpstr>Hoja1</vt:lpstr>
      <vt:lpstr>Analisis DX</vt:lpstr>
      <vt:lpstr>Analisis OX</vt:lpstr>
      <vt:lpstr>Brecha</vt:lpstr>
      <vt:lpstr>TERREN e INFR</vt:lpstr>
      <vt:lpstr>MAQ y EQUIP</vt:lpstr>
      <vt:lpstr>INVERS FIJ INTANG</vt:lpstr>
      <vt:lpstr>PLAN-PROD.Y VENTAS</vt:lpstr>
      <vt:lpstr>COST PROD Y MANT</vt:lpstr>
      <vt:lpstr>CAP TRABAJ</vt:lpstr>
      <vt:lpstr>INGRESOS </vt:lpstr>
      <vt:lpstr>INVERSION</vt:lpstr>
      <vt:lpstr>FINANCIAMIENT</vt:lpstr>
      <vt:lpstr>DEPRECIAC </vt:lpstr>
      <vt:lpstr>PPTO DE EGRES</vt:lpstr>
      <vt:lpstr>ESTADO GyP</vt:lpstr>
      <vt:lpstr>FLUJO DE CAJA </vt:lpstr>
      <vt:lpstr>CRONOGRAMA</vt:lpstr>
      <vt:lpstr>'Analisis DX'!Área_de_impresión</vt:lpstr>
      <vt:lpstr>Brecha!Área_de_impresión</vt:lpstr>
      <vt:lpstr>'CAP TRABAJ'!Área_de_impresión</vt:lpstr>
      <vt:lpstr>'COST PROD Y MANT'!Área_de_impresión</vt:lpstr>
      <vt:lpstr>'DEPRECIAC '!Área_de_impresión</vt:lpstr>
      <vt:lpstr>'ESTADO GyP'!Área_de_impresión</vt:lpstr>
      <vt:lpstr>FINANCIAMIENT!Área_de_impresión</vt:lpstr>
      <vt:lpstr>'FLUJO DE CAJA '!Área_de_impresión</vt:lpstr>
      <vt:lpstr>'INGRESOS '!Área_de_impresión</vt:lpstr>
      <vt:lpstr>'INVERS FIJ INTANG'!Área_de_impresión</vt:lpstr>
      <vt:lpstr>'MAQ y EQUIP'!Área_de_impresión</vt:lpstr>
      <vt:lpstr>'PLAN-PROD.Y VENTAS'!Área_de_impresión</vt:lpstr>
      <vt:lpstr>'PPTO DE EGRES'!Área_de_impresión</vt:lpstr>
      <vt:lpstr>'TERREN e INFR'!Área_de_impresión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</dc:creator>
  <cp:lastModifiedBy>Victor Manuel Sandoval</cp:lastModifiedBy>
  <dcterms:created xsi:type="dcterms:W3CDTF">2019-10-26T17:09:34Z</dcterms:created>
  <dcterms:modified xsi:type="dcterms:W3CDTF">2022-04-12T14:30:37Z</dcterms:modified>
</cp:coreProperties>
</file>